
<file path=[Content_Types].xml><?xml version="1.0" encoding="utf-8"?>
<Types xmlns="http://schemas.openxmlformats.org/package/2006/content-types"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charts/chart49.xml" ContentType="application/vnd.openxmlformats-officedocument.drawingml.chart+xml"/>
  <Override PartName="/xl/charts/chart58.xml" ContentType="application/vnd.openxmlformats-officedocument.drawingml.chart+xml"/>
  <Override PartName="/xl/charts/chart67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charts/chart47.xml" ContentType="application/vnd.openxmlformats-officedocument.drawingml.chart+xml"/>
  <Override PartName="/xl/charts/chart56.xml" ContentType="application/vnd.openxmlformats-officedocument.drawingml.chart+xml"/>
  <Override PartName="/xl/charts/chart65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charts/chart25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54.xml" ContentType="application/vnd.openxmlformats-officedocument.drawingml.chart+xml"/>
  <Override PartName="/xl/drawings/drawing11.xml" ContentType="application/vnd.openxmlformats-officedocument.drawing+xml"/>
  <Override PartName="/xl/charts/chart63.xml" ContentType="application/vnd.openxmlformats-officedocument.drawingml.char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52.xml" ContentType="application/vnd.openxmlformats-officedocument.drawingml.chart+xml"/>
  <Override PartName="/xl/charts/chart61.xml" ContentType="application/vnd.openxmlformats-officedocument.drawingml.char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59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xl/charts/chart57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55.xml" ContentType="application/vnd.openxmlformats-officedocument.drawingml.chart+xml"/>
  <Override PartName="/xl/charts/chart66.xml" ContentType="application/vnd.openxmlformats-officedocument.drawingml.chart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53.xml" ContentType="application/vnd.openxmlformats-officedocument.drawingml.chart+xml"/>
  <Override PartName="/xl/drawings/drawing12.xml" ContentType="application/vnd.openxmlformats-officedocument.drawing+xml"/>
  <Override PartName="/xl/charts/chart64.xml" ContentType="application/vnd.openxmlformats-officedocument.drawingml.chart+xml"/>
  <Override PartName="/xl/calcChain.xml" ContentType="application/vnd.openxmlformats-officedocument.spreadsheetml.calcChain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drawings/drawing10.xml" ContentType="application/vnd.openxmlformats-officedocument.drawing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9495" windowHeight="3345" firstSheet="3" activeTab="12"/>
  </bookViews>
  <sheets>
    <sheet name="2013($)" sheetId="9" state="hidden" r:id="rId1"/>
    <sheet name="Total de Cargas (anual)" sheetId="7" state="hidden" r:id="rId2"/>
    <sheet name="Contêineres (Anual) " sheetId="8" state="hidden" r:id="rId3"/>
    <sheet name="2010" sheetId="1" r:id="rId4"/>
    <sheet name="2011" sheetId="4" r:id="rId5"/>
    <sheet name="2012" sheetId="5" r:id="rId6"/>
    <sheet name="2013" sheetId="6" r:id="rId7"/>
    <sheet name="2014" sheetId="19" r:id="rId8"/>
    <sheet name="2015" sheetId="10" r:id="rId9"/>
    <sheet name="2016" sheetId="20" r:id="rId10"/>
    <sheet name="2017" sheetId="21" r:id="rId11"/>
    <sheet name="2018" sheetId="22" r:id="rId12"/>
    <sheet name="Resumo Anual" sheetId="18" r:id="rId13"/>
  </sheets>
  <externalReferences>
    <externalReference r:id="rId14"/>
    <externalReference r:id="rId15"/>
  </externalReferences>
  <definedNames>
    <definedName name="_xlnm._FilterDatabase" localSheetId="6" hidden="1">'2013'!$A$162:$E$163</definedName>
    <definedName name="_xlnm._FilterDatabase" localSheetId="7" hidden="1">'2014'!$A$162:$E$163</definedName>
    <definedName name="_xlnm._FilterDatabase" localSheetId="8" hidden="1">'2015'!$A$162:$E$163</definedName>
    <definedName name="_xlnm._FilterDatabase" localSheetId="9" hidden="1">'2016'!$A$162:$E$163</definedName>
    <definedName name="_xlnm._FilterDatabase" localSheetId="10" hidden="1">'2017'!$A$162:$E$163</definedName>
    <definedName name="_xlnm._FilterDatabase" localSheetId="11" hidden="1">'2018'!$A$162:$E$163</definedName>
    <definedName name="_xlnm._FilterDatabase" localSheetId="12" hidden="1">'Resumo Anual'!$A$136:$E$137</definedName>
    <definedName name="_xlnm._FilterDatabase" localSheetId="1" hidden="1">'Total de Cargas (anual)'!$A$1:$N$3</definedName>
  </definedNames>
  <calcPr calcId="124519"/>
</workbook>
</file>

<file path=xl/calcChain.xml><?xml version="1.0" encoding="utf-8"?>
<calcChain xmlns="http://schemas.openxmlformats.org/spreadsheetml/2006/main">
  <c r="H110" i="22"/>
  <c r="H155"/>
  <c r="H86"/>
  <c r="H85"/>
  <c r="N35"/>
  <c r="L35" i="18" s="1"/>
  <c r="N34" i="22"/>
  <c r="L34" i="18" s="1"/>
  <c r="N7" i="22"/>
  <c r="L7" i="18" s="1"/>
  <c r="I9" i="22"/>
  <c r="M6"/>
  <c r="K130" i="18"/>
  <c r="K131" s="1"/>
  <c r="K129"/>
  <c r="E9"/>
  <c r="E6"/>
  <c r="D9"/>
  <c r="D6"/>
  <c r="C9"/>
  <c r="C6"/>
  <c r="B9"/>
  <c r="B6"/>
  <c r="M131" i="22"/>
  <c r="I131"/>
  <c r="I132" s="1"/>
  <c r="E132"/>
  <c r="D132"/>
  <c r="C132"/>
  <c r="B132"/>
  <c r="N130"/>
  <c r="L104" i="18" s="1"/>
  <c r="J109" i="22"/>
  <c r="J110" s="1"/>
  <c r="F110"/>
  <c r="D110"/>
  <c r="C110"/>
  <c r="M155"/>
  <c r="L155"/>
  <c r="K155"/>
  <c r="J155"/>
  <c r="I155"/>
  <c r="D157"/>
  <c r="M109"/>
  <c r="M110" s="1"/>
  <c r="L156"/>
  <c r="K156"/>
  <c r="K157" s="1"/>
  <c r="J156"/>
  <c r="I156"/>
  <c r="I157" s="1"/>
  <c r="N86"/>
  <c r="L131"/>
  <c r="L132" s="1"/>
  <c r="K131"/>
  <c r="K132" s="1"/>
  <c r="J84"/>
  <c r="G132"/>
  <c r="F84"/>
  <c r="M84"/>
  <c r="L84"/>
  <c r="K84"/>
  <c r="I84"/>
  <c r="G84"/>
  <c r="E84"/>
  <c r="D84"/>
  <c r="C84"/>
  <c r="B84"/>
  <c r="L33"/>
  <c r="M33"/>
  <c r="K33"/>
  <c r="K36" s="1"/>
  <c r="J33"/>
  <c r="I33"/>
  <c r="I36" s="1"/>
  <c r="G33"/>
  <c r="G36" s="1"/>
  <c r="F33"/>
  <c r="F36" s="1"/>
  <c r="E33"/>
  <c r="E36" s="1"/>
  <c r="D33"/>
  <c r="D36" s="1"/>
  <c r="C33"/>
  <c r="C36" s="1"/>
  <c r="B33"/>
  <c r="B36" s="1"/>
  <c r="L6"/>
  <c r="N8"/>
  <c r="L8" i="18" s="1"/>
  <c r="K6" i="22"/>
  <c r="K9" s="1"/>
  <c r="J6"/>
  <c r="H6"/>
  <c r="H9" s="1"/>
  <c r="G6"/>
  <c r="G9" s="1"/>
  <c r="F6"/>
  <c r="F9" s="1"/>
  <c r="E6"/>
  <c r="E9" s="1"/>
  <c r="D6"/>
  <c r="D9" s="1"/>
  <c r="C6"/>
  <c r="C9" s="1"/>
  <c r="B6"/>
  <c r="B9" s="1"/>
  <c r="M130" i="21"/>
  <c r="L130"/>
  <c r="K130"/>
  <c r="M108"/>
  <c r="L108"/>
  <c r="K108"/>
  <c r="M86"/>
  <c r="L86"/>
  <c r="K86"/>
  <c r="M85"/>
  <c r="L85"/>
  <c r="K85"/>
  <c r="J62"/>
  <c r="J61"/>
  <c r="M35"/>
  <c r="M34"/>
  <c r="L35"/>
  <c r="L34"/>
  <c r="K35"/>
  <c r="K34"/>
  <c r="M8"/>
  <c r="M7"/>
  <c r="L8"/>
  <c r="L7"/>
  <c r="K8"/>
  <c r="K7"/>
  <c r="J130"/>
  <c r="J108"/>
  <c r="I108"/>
  <c r="J86"/>
  <c r="J85"/>
  <c r="I86"/>
  <c r="I85"/>
  <c r="J35"/>
  <c r="J34"/>
  <c r="J8"/>
  <c r="J7"/>
  <c r="H156" i="22" l="1"/>
  <c r="H157" s="1"/>
  <c r="H131"/>
  <c r="H132" s="1"/>
  <c r="H84"/>
  <c r="H33"/>
  <c r="H36" s="1"/>
  <c r="C157"/>
  <c r="G157"/>
  <c r="I6"/>
  <c r="F157"/>
  <c r="L157"/>
  <c r="J157"/>
  <c r="M156"/>
  <c r="M157" s="1"/>
  <c r="M9"/>
  <c r="B157"/>
  <c r="M36"/>
  <c r="N6"/>
  <c r="N9" s="1"/>
  <c r="L9"/>
  <c r="L36"/>
  <c r="G110"/>
  <c r="K109"/>
  <c r="K110" s="1"/>
  <c r="B110"/>
  <c r="F132"/>
  <c r="J131"/>
  <c r="J132" s="1"/>
  <c r="M132"/>
  <c r="N85"/>
  <c r="N84" s="1"/>
  <c r="J9"/>
  <c r="J36"/>
  <c r="N108"/>
  <c r="E110"/>
  <c r="I109"/>
  <c r="I110" s="1"/>
  <c r="E157"/>
  <c r="H109"/>
  <c r="L109"/>
  <c r="L110" s="1"/>
  <c r="H130" i="21"/>
  <c r="H108"/>
  <c r="H86"/>
  <c r="H85"/>
  <c r="N33" i="22" l="1"/>
  <c r="N36" s="1"/>
  <c r="N155"/>
  <c r="L82" i="18"/>
  <c r="N109" i="22"/>
  <c r="N131"/>
  <c r="G130" i="21"/>
  <c r="G108"/>
  <c r="G86"/>
  <c r="G85"/>
  <c r="F33"/>
  <c r="F36" s="1"/>
  <c r="F130"/>
  <c r="F108"/>
  <c r="F86"/>
  <c r="F85"/>
  <c r="F6"/>
  <c r="E130"/>
  <c r="E108"/>
  <c r="E86"/>
  <c r="E85"/>
  <c r="E6"/>
  <c r="E9" s="1"/>
  <c r="N110" i="22" l="1"/>
  <c r="L83" i="18"/>
  <c r="L60"/>
  <c r="L59"/>
  <c r="L105"/>
  <c r="N132" i="22"/>
  <c r="N156"/>
  <c r="N157" s="1"/>
  <c r="E36" i="21"/>
  <c r="F9"/>
  <c r="E33"/>
  <c r="D130"/>
  <c r="D108"/>
  <c r="B130" l="1"/>
  <c r="C108"/>
  <c r="B108"/>
  <c r="K131" l="1"/>
  <c r="K132" s="1"/>
  <c r="K109"/>
  <c r="K110" s="1"/>
  <c r="J33"/>
  <c r="J36" s="1"/>
  <c r="K33"/>
  <c r="K36" s="1"/>
  <c r="K156"/>
  <c r="K157" s="1"/>
  <c r="J156"/>
  <c r="I156"/>
  <c r="H156"/>
  <c r="G156"/>
  <c r="G157" s="1"/>
  <c r="F156"/>
  <c r="F157" s="1"/>
  <c r="E156"/>
  <c r="E157" s="1"/>
  <c r="D156"/>
  <c r="D157" s="1"/>
  <c r="C156"/>
  <c r="C157" s="1"/>
  <c r="B156"/>
  <c r="K155"/>
  <c r="H155"/>
  <c r="H157" s="1"/>
  <c r="G155"/>
  <c r="F155"/>
  <c r="E155"/>
  <c r="C155"/>
  <c r="B155"/>
  <c r="J131"/>
  <c r="J132" s="1"/>
  <c r="I131"/>
  <c r="I132" s="1"/>
  <c r="H131"/>
  <c r="H132" s="1"/>
  <c r="G131"/>
  <c r="G132" s="1"/>
  <c r="F131"/>
  <c r="F132" s="1"/>
  <c r="E131"/>
  <c r="E132" s="1"/>
  <c r="D131"/>
  <c r="D132" s="1"/>
  <c r="C131"/>
  <c r="C132" s="1"/>
  <c r="B131"/>
  <c r="B132" s="1"/>
  <c r="I155"/>
  <c r="I157" s="1"/>
  <c r="N130"/>
  <c r="J109"/>
  <c r="J110" s="1"/>
  <c r="I109"/>
  <c r="I110" s="1"/>
  <c r="H109"/>
  <c r="H110" s="1"/>
  <c r="G109"/>
  <c r="G110" s="1"/>
  <c r="F109"/>
  <c r="F110" s="1"/>
  <c r="E109"/>
  <c r="E110" s="1"/>
  <c r="D109"/>
  <c r="D110" s="1"/>
  <c r="C109"/>
  <c r="C110" s="1"/>
  <c r="B109"/>
  <c r="B110" s="1"/>
  <c r="M155"/>
  <c r="L155"/>
  <c r="J155"/>
  <c r="J157" s="1"/>
  <c r="L156"/>
  <c r="M84"/>
  <c r="N85"/>
  <c r="L84"/>
  <c r="K84"/>
  <c r="J84"/>
  <c r="I84"/>
  <c r="H84"/>
  <c r="G84"/>
  <c r="F84"/>
  <c r="E84"/>
  <c r="D84"/>
  <c r="C84"/>
  <c r="B84"/>
  <c r="L33"/>
  <c r="N34"/>
  <c r="M33"/>
  <c r="M36" s="1"/>
  <c r="H33"/>
  <c r="H36" s="1"/>
  <c r="G33"/>
  <c r="G36" s="1"/>
  <c r="D33"/>
  <c r="D36" s="1"/>
  <c r="C33"/>
  <c r="C36" s="1"/>
  <c r="B33"/>
  <c r="B36" s="1"/>
  <c r="I9"/>
  <c r="G6"/>
  <c r="G9" s="1"/>
  <c r="N7"/>
  <c r="J37" i="18"/>
  <c r="I37"/>
  <c r="F37"/>
  <c r="E37"/>
  <c r="B37"/>
  <c r="K37"/>
  <c r="H37"/>
  <c r="G37"/>
  <c r="D37"/>
  <c r="C37"/>
  <c r="B157" i="21"/>
  <c r="D155"/>
  <c r="M131"/>
  <c r="L131"/>
  <c r="L132" s="1"/>
  <c r="M109"/>
  <c r="M110" s="1"/>
  <c r="L109"/>
  <c r="L110" s="1"/>
  <c r="N108"/>
  <c r="N86"/>
  <c r="L36"/>
  <c r="N35"/>
  <c r="I33"/>
  <c r="I36" s="1"/>
  <c r="N8"/>
  <c r="M6"/>
  <c r="M9" s="1"/>
  <c r="L6"/>
  <c r="L9" s="1"/>
  <c r="K6"/>
  <c r="K9" s="1"/>
  <c r="J6"/>
  <c r="J9" s="1"/>
  <c r="I6"/>
  <c r="H6"/>
  <c r="H9" s="1"/>
  <c r="D6"/>
  <c r="D9" s="1"/>
  <c r="C6"/>
  <c r="C9" s="1"/>
  <c r="B6"/>
  <c r="B9" s="1"/>
  <c r="M157" i="20"/>
  <c r="L157"/>
  <c r="K157"/>
  <c r="J157"/>
  <c r="I157"/>
  <c r="H157"/>
  <c r="G157"/>
  <c r="F157"/>
  <c r="E157"/>
  <c r="D157"/>
  <c r="C157"/>
  <c r="B157"/>
  <c r="M156"/>
  <c r="L156"/>
  <c r="K156"/>
  <c r="J156"/>
  <c r="I156"/>
  <c r="H156"/>
  <c r="G156"/>
  <c r="F156"/>
  <c r="E156"/>
  <c r="D156"/>
  <c r="C156"/>
  <c r="B156"/>
  <c r="N155"/>
  <c r="M155"/>
  <c r="L155"/>
  <c r="K155"/>
  <c r="J155"/>
  <c r="I155"/>
  <c r="H155"/>
  <c r="G155"/>
  <c r="F155"/>
  <c r="E155"/>
  <c r="D155"/>
  <c r="C155"/>
  <c r="B155"/>
  <c r="N132"/>
  <c r="M132"/>
  <c r="L132"/>
  <c r="K132"/>
  <c r="J132"/>
  <c r="I132"/>
  <c r="H132"/>
  <c r="G132"/>
  <c r="F132"/>
  <c r="E132"/>
  <c r="D132"/>
  <c r="C132"/>
  <c r="B132"/>
  <c r="N131"/>
  <c r="M131"/>
  <c r="L131"/>
  <c r="J131"/>
  <c r="I131"/>
  <c r="H131"/>
  <c r="G131"/>
  <c r="F131"/>
  <c r="E131"/>
  <c r="D131"/>
  <c r="C131"/>
  <c r="B131"/>
  <c r="N130"/>
  <c r="M130"/>
  <c r="L130"/>
  <c r="K130"/>
  <c r="J130"/>
  <c r="I130"/>
  <c r="G130"/>
  <c r="M110"/>
  <c r="L110"/>
  <c r="J110"/>
  <c r="I110"/>
  <c r="H110"/>
  <c r="G110"/>
  <c r="F110"/>
  <c r="E110"/>
  <c r="D110"/>
  <c r="C110"/>
  <c r="B110"/>
  <c r="M109"/>
  <c r="L109"/>
  <c r="K109"/>
  <c r="N109" s="1"/>
  <c r="J109"/>
  <c r="I109"/>
  <c r="H109"/>
  <c r="G109"/>
  <c r="F109"/>
  <c r="E109"/>
  <c r="D109"/>
  <c r="C109"/>
  <c r="B109"/>
  <c r="N108"/>
  <c r="M108"/>
  <c r="L108"/>
  <c r="K108"/>
  <c r="J108"/>
  <c r="I108"/>
  <c r="D108"/>
  <c r="N86"/>
  <c r="M86"/>
  <c r="L86"/>
  <c r="N85"/>
  <c r="M85"/>
  <c r="L85"/>
  <c r="N84"/>
  <c r="M84"/>
  <c r="L84"/>
  <c r="K84"/>
  <c r="J84"/>
  <c r="I84"/>
  <c r="H84"/>
  <c r="G84"/>
  <c r="F84"/>
  <c r="E84"/>
  <c r="D84"/>
  <c r="C84"/>
  <c r="B84"/>
  <c r="M62"/>
  <c r="M61"/>
  <c r="M36"/>
  <c r="L36"/>
  <c r="H36"/>
  <c r="G36"/>
  <c r="F36"/>
  <c r="E36"/>
  <c r="D36"/>
  <c r="C36"/>
  <c r="B36"/>
  <c r="L35"/>
  <c r="K35"/>
  <c r="J35"/>
  <c r="I35"/>
  <c r="L34"/>
  <c r="K34"/>
  <c r="K33" s="1"/>
  <c r="J34"/>
  <c r="I34"/>
  <c r="M33"/>
  <c r="L33"/>
  <c r="J33"/>
  <c r="I33"/>
  <c r="H33"/>
  <c r="G33"/>
  <c r="F33"/>
  <c r="E33"/>
  <c r="D33"/>
  <c r="C33"/>
  <c r="B33"/>
  <c r="M9"/>
  <c r="L9"/>
  <c r="J9"/>
  <c r="I9"/>
  <c r="H9"/>
  <c r="G9"/>
  <c r="F9"/>
  <c r="E9"/>
  <c r="D9"/>
  <c r="C9"/>
  <c r="B9"/>
  <c r="M8"/>
  <c r="L8"/>
  <c r="K8"/>
  <c r="M7"/>
  <c r="L7"/>
  <c r="K7"/>
  <c r="N7" s="1"/>
  <c r="M6"/>
  <c r="L6"/>
  <c r="J6"/>
  <c r="I6"/>
  <c r="H6"/>
  <c r="G6"/>
  <c r="F6"/>
  <c r="E6"/>
  <c r="D6"/>
  <c r="C6"/>
  <c r="B6"/>
  <c r="M156" i="10"/>
  <c r="L156"/>
  <c r="K156"/>
  <c r="J156"/>
  <c r="I156"/>
  <c r="H156"/>
  <c r="G156"/>
  <c r="F156"/>
  <c r="E156"/>
  <c r="D156"/>
  <c r="C156"/>
  <c r="B156"/>
  <c r="N156" s="1"/>
  <c r="M155"/>
  <c r="L155"/>
  <c r="K155"/>
  <c r="K157" s="1"/>
  <c r="J155"/>
  <c r="J157" s="1"/>
  <c r="I155"/>
  <c r="H155"/>
  <c r="G155"/>
  <c r="G157" s="1"/>
  <c r="F155"/>
  <c r="F157" s="1"/>
  <c r="E155"/>
  <c r="D155"/>
  <c r="C155"/>
  <c r="C157" s="1"/>
  <c r="B155"/>
  <c r="B157" s="1"/>
  <c r="Q134"/>
  <c r="M132"/>
  <c r="K132"/>
  <c r="L132"/>
  <c r="J132"/>
  <c r="I132"/>
  <c r="H132"/>
  <c r="G132"/>
  <c r="F132"/>
  <c r="E132"/>
  <c r="D132"/>
  <c r="C132"/>
  <c r="N131"/>
  <c r="N130"/>
  <c r="L110"/>
  <c r="K110"/>
  <c r="J110"/>
  <c r="H110"/>
  <c r="G110"/>
  <c r="F110"/>
  <c r="D110"/>
  <c r="C110"/>
  <c r="B110"/>
  <c r="M110"/>
  <c r="I110"/>
  <c r="N109"/>
  <c r="N110" s="1"/>
  <c r="N108"/>
  <c r="N86"/>
  <c r="N85"/>
  <c r="N84" s="1"/>
  <c r="M84"/>
  <c r="L84"/>
  <c r="K84"/>
  <c r="J84"/>
  <c r="I84"/>
  <c r="H84"/>
  <c r="G84"/>
  <c r="F84"/>
  <c r="E84"/>
  <c r="D84"/>
  <c r="C84"/>
  <c r="B84"/>
  <c r="M36"/>
  <c r="I36"/>
  <c r="E36"/>
  <c r="N35"/>
  <c r="N34"/>
  <c r="M33"/>
  <c r="L33"/>
  <c r="L36" s="1"/>
  <c r="K33"/>
  <c r="K36" s="1"/>
  <c r="J33"/>
  <c r="J36" s="1"/>
  <c r="I33"/>
  <c r="H33"/>
  <c r="H36" s="1"/>
  <c r="G33"/>
  <c r="G36" s="1"/>
  <c r="F33"/>
  <c r="F36" s="1"/>
  <c r="E33"/>
  <c r="D33"/>
  <c r="D36" s="1"/>
  <c r="C33"/>
  <c r="C36" s="1"/>
  <c r="B33"/>
  <c r="B36" s="1"/>
  <c r="N8"/>
  <c r="N7"/>
  <c r="M6"/>
  <c r="M9" s="1"/>
  <c r="L6"/>
  <c r="L9" s="1"/>
  <c r="K6"/>
  <c r="K9" s="1"/>
  <c r="J6"/>
  <c r="J9" s="1"/>
  <c r="I6"/>
  <c r="I9" s="1"/>
  <c r="H6"/>
  <c r="H9" s="1"/>
  <c r="G6"/>
  <c r="G9" s="1"/>
  <c r="F6"/>
  <c r="F9" s="1"/>
  <c r="E6"/>
  <c r="E9" s="1"/>
  <c r="D6"/>
  <c r="D9" s="1"/>
  <c r="C6"/>
  <c r="C9" s="1"/>
  <c r="B6"/>
  <c r="B9" s="1"/>
  <c r="B157" i="19"/>
  <c r="M156"/>
  <c r="M157" s="1"/>
  <c r="L156"/>
  <c r="L157" s="1"/>
  <c r="K156"/>
  <c r="J156"/>
  <c r="I156"/>
  <c r="I157" s="1"/>
  <c r="H156"/>
  <c r="H157" s="1"/>
  <c r="G156"/>
  <c r="F156"/>
  <c r="E156"/>
  <c r="E157" s="1"/>
  <c r="D156"/>
  <c r="D157" s="1"/>
  <c r="C156"/>
  <c r="B156"/>
  <c r="N156" s="1"/>
  <c r="N157" s="1"/>
  <c r="N155"/>
  <c r="M155"/>
  <c r="L155"/>
  <c r="K155"/>
  <c r="J155"/>
  <c r="J157" s="1"/>
  <c r="I155"/>
  <c r="H155"/>
  <c r="G155"/>
  <c r="F155"/>
  <c r="F157" s="1"/>
  <c r="E155"/>
  <c r="D155"/>
  <c r="C155"/>
  <c r="B155"/>
  <c r="M132"/>
  <c r="L132"/>
  <c r="I132"/>
  <c r="H132"/>
  <c r="E132"/>
  <c r="D132"/>
  <c r="C132"/>
  <c r="B132"/>
  <c r="K132"/>
  <c r="J132"/>
  <c r="G132"/>
  <c r="N131"/>
  <c r="N132" s="1"/>
  <c r="N130"/>
  <c r="L110"/>
  <c r="K110"/>
  <c r="H110"/>
  <c r="G110"/>
  <c r="E110"/>
  <c r="D110"/>
  <c r="C110"/>
  <c r="B110"/>
  <c r="M109"/>
  <c r="M110" s="1"/>
  <c r="L109"/>
  <c r="K109"/>
  <c r="J109"/>
  <c r="J110" s="1"/>
  <c r="I109"/>
  <c r="I110" s="1"/>
  <c r="H109"/>
  <c r="G109"/>
  <c r="F109"/>
  <c r="N109" s="1"/>
  <c r="N110" s="1"/>
  <c r="N108"/>
  <c r="M108"/>
  <c r="L108"/>
  <c r="K108"/>
  <c r="J108"/>
  <c r="I108"/>
  <c r="H108"/>
  <c r="G108"/>
  <c r="F108"/>
  <c r="E108"/>
  <c r="D108"/>
  <c r="C108"/>
  <c r="B108"/>
  <c r="N86"/>
  <c r="N85"/>
  <c r="N84"/>
  <c r="M84"/>
  <c r="L84"/>
  <c r="K84"/>
  <c r="J84"/>
  <c r="I84"/>
  <c r="H84"/>
  <c r="G84"/>
  <c r="F84"/>
  <c r="E84"/>
  <c r="D84"/>
  <c r="C84"/>
  <c r="B84"/>
  <c r="L36"/>
  <c r="H36"/>
  <c r="D36"/>
  <c r="N35"/>
  <c r="N34"/>
  <c r="M33"/>
  <c r="M36" s="1"/>
  <c r="L33"/>
  <c r="K33"/>
  <c r="K36" s="1"/>
  <c r="J33"/>
  <c r="J36" s="1"/>
  <c r="I33"/>
  <c r="I36" s="1"/>
  <c r="H33"/>
  <c r="G33"/>
  <c r="G36" s="1"/>
  <c r="F33"/>
  <c r="F36" s="1"/>
  <c r="E33"/>
  <c r="E36" s="1"/>
  <c r="D33"/>
  <c r="C33"/>
  <c r="C36" s="1"/>
  <c r="B33"/>
  <c r="B36" s="1"/>
  <c r="N8"/>
  <c r="N7"/>
  <c r="M6"/>
  <c r="M9" s="1"/>
  <c r="L6"/>
  <c r="L9" s="1"/>
  <c r="K6"/>
  <c r="K9" s="1"/>
  <c r="J6"/>
  <c r="J9" s="1"/>
  <c r="I6"/>
  <c r="I9" s="1"/>
  <c r="H6"/>
  <c r="H9" s="1"/>
  <c r="G6"/>
  <c r="G9" s="1"/>
  <c r="F6"/>
  <c r="F9" s="1"/>
  <c r="E6"/>
  <c r="E9" s="1"/>
  <c r="D6"/>
  <c r="D9" s="1"/>
  <c r="C6"/>
  <c r="C9" s="1"/>
  <c r="B6"/>
  <c r="N6" s="1"/>
  <c r="N157" i="6"/>
  <c r="M157"/>
  <c r="L157"/>
  <c r="K157"/>
  <c r="J157"/>
  <c r="I157"/>
  <c r="H157"/>
  <c r="G157"/>
  <c r="F157"/>
  <c r="E157"/>
  <c r="D157"/>
  <c r="C157"/>
  <c r="B157"/>
  <c r="N155"/>
  <c r="M155"/>
  <c r="L155"/>
  <c r="K155"/>
  <c r="J155"/>
  <c r="I155"/>
  <c r="H155"/>
  <c r="G155"/>
  <c r="F155"/>
  <c r="E155"/>
  <c r="D155"/>
  <c r="C155"/>
  <c r="B155"/>
  <c r="N132"/>
  <c r="M132"/>
  <c r="L132"/>
  <c r="K132"/>
  <c r="J132"/>
  <c r="I132"/>
  <c r="H132"/>
  <c r="G132"/>
  <c r="F132"/>
  <c r="E132"/>
  <c r="D132"/>
  <c r="C132"/>
  <c r="B132"/>
  <c r="N131"/>
  <c r="N130"/>
  <c r="M130"/>
  <c r="L130"/>
  <c r="K130"/>
  <c r="J130"/>
  <c r="I130"/>
  <c r="H130"/>
  <c r="D130"/>
  <c r="N110"/>
  <c r="M110"/>
  <c r="L110"/>
  <c r="K110"/>
  <c r="J110"/>
  <c r="I110"/>
  <c r="H110"/>
  <c r="G110"/>
  <c r="F110"/>
  <c r="E110"/>
  <c r="D110"/>
  <c r="C110"/>
  <c r="B110"/>
  <c r="N109"/>
  <c r="N108"/>
  <c r="M108"/>
  <c r="L108"/>
  <c r="K108"/>
  <c r="J108"/>
  <c r="I108"/>
  <c r="H108"/>
  <c r="D108"/>
  <c r="N86"/>
  <c r="N85"/>
  <c r="N84"/>
  <c r="M84"/>
  <c r="L84"/>
  <c r="K84"/>
  <c r="J84"/>
  <c r="I84"/>
  <c r="H84"/>
  <c r="G84"/>
  <c r="F84"/>
  <c r="E84"/>
  <c r="D84"/>
  <c r="C84"/>
  <c r="B84"/>
  <c r="N36"/>
  <c r="M36"/>
  <c r="L36"/>
  <c r="K36"/>
  <c r="J36"/>
  <c r="I36"/>
  <c r="H36"/>
  <c r="G36"/>
  <c r="F36"/>
  <c r="E36"/>
  <c r="D36"/>
  <c r="C36"/>
  <c r="B36"/>
  <c r="N35"/>
  <c r="L35"/>
  <c r="N34"/>
  <c r="L34"/>
  <c r="N33"/>
  <c r="M33"/>
  <c r="L33"/>
  <c r="K33"/>
  <c r="J33"/>
  <c r="I33"/>
  <c r="H33"/>
  <c r="G33"/>
  <c r="F33"/>
  <c r="E33"/>
  <c r="D33"/>
  <c r="C33"/>
  <c r="B33"/>
  <c r="N9"/>
  <c r="M9"/>
  <c r="L9"/>
  <c r="K9"/>
  <c r="J9"/>
  <c r="I9"/>
  <c r="H9"/>
  <c r="G9"/>
  <c r="F9"/>
  <c r="E9"/>
  <c r="D9"/>
  <c r="C9"/>
  <c r="B9"/>
  <c r="N8"/>
  <c r="N7"/>
  <c r="N6"/>
  <c r="M6"/>
  <c r="L6"/>
  <c r="K6"/>
  <c r="J6"/>
  <c r="I6"/>
  <c r="H6"/>
  <c r="G6"/>
  <c r="F6"/>
  <c r="E6"/>
  <c r="D6"/>
  <c r="C6"/>
  <c r="B6"/>
  <c r="M131" i="5"/>
  <c r="M132" s="1"/>
  <c r="L131"/>
  <c r="L132" s="1"/>
  <c r="K131"/>
  <c r="K132" s="1"/>
  <c r="B131"/>
  <c r="N131" s="1"/>
  <c r="N132" s="1"/>
  <c r="M130"/>
  <c r="L130"/>
  <c r="K130"/>
  <c r="J130"/>
  <c r="J132" s="1"/>
  <c r="I130"/>
  <c r="I132" s="1"/>
  <c r="H130"/>
  <c r="H132" s="1"/>
  <c r="G130"/>
  <c r="G132" s="1"/>
  <c r="F130"/>
  <c r="F132" s="1"/>
  <c r="E130"/>
  <c r="E132" s="1"/>
  <c r="D130"/>
  <c r="D132" s="1"/>
  <c r="C130"/>
  <c r="C132" s="1"/>
  <c r="B130"/>
  <c r="N130" s="1"/>
  <c r="M109"/>
  <c r="M110" s="1"/>
  <c r="L109"/>
  <c r="L110" s="1"/>
  <c r="K109"/>
  <c r="K110" s="1"/>
  <c r="D109"/>
  <c r="D110" s="1"/>
  <c r="B109"/>
  <c r="B110" s="1"/>
  <c r="M108"/>
  <c r="M153" s="1"/>
  <c r="L108"/>
  <c r="L153" s="1"/>
  <c r="K108"/>
  <c r="K153" s="1"/>
  <c r="J108"/>
  <c r="J153" s="1"/>
  <c r="I108"/>
  <c r="I153" s="1"/>
  <c r="H108"/>
  <c r="H153" s="1"/>
  <c r="G108"/>
  <c r="G153" s="1"/>
  <c r="F108"/>
  <c r="F153" s="1"/>
  <c r="E108"/>
  <c r="E153" s="1"/>
  <c r="D108"/>
  <c r="D153" s="1"/>
  <c r="C108"/>
  <c r="C153" s="1"/>
  <c r="B108"/>
  <c r="B153" s="1"/>
  <c r="N86"/>
  <c r="N85"/>
  <c r="N84" s="1"/>
  <c r="N154" s="1"/>
  <c r="M84"/>
  <c r="M154" s="1"/>
  <c r="M155" s="1"/>
  <c r="L84"/>
  <c r="L154" s="1"/>
  <c r="K84"/>
  <c r="K154" s="1"/>
  <c r="J84"/>
  <c r="J154" s="1"/>
  <c r="J155" s="1"/>
  <c r="I84"/>
  <c r="I154" s="1"/>
  <c r="I155" s="1"/>
  <c r="H84"/>
  <c r="H154" s="1"/>
  <c r="G84"/>
  <c r="G154" s="1"/>
  <c r="F84"/>
  <c r="F154" s="1"/>
  <c r="F155" s="1"/>
  <c r="E84"/>
  <c r="E154" s="1"/>
  <c r="E155" s="1"/>
  <c r="D84"/>
  <c r="D154" s="1"/>
  <c r="C84"/>
  <c r="C154" s="1"/>
  <c r="B84"/>
  <c r="B154" s="1"/>
  <c r="B155" s="1"/>
  <c r="N35"/>
  <c r="N36" s="1"/>
  <c r="N34"/>
  <c r="M33"/>
  <c r="M36" s="1"/>
  <c r="L33"/>
  <c r="L36" s="1"/>
  <c r="K33"/>
  <c r="K36" s="1"/>
  <c r="J33"/>
  <c r="J36" s="1"/>
  <c r="I33"/>
  <c r="I36" s="1"/>
  <c r="H33"/>
  <c r="H36" s="1"/>
  <c r="G33"/>
  <c r="G36" s="1"/>
  <c r="F33"/>
  <c r="F36" s="1"/>
  <c r="E33"/>
  <c r="E36" s="1"/>
  <c r="D33"/>
  <c r="D36" s="1"/>
  <c r="C33"/>
  <c r="C36" s="1"/>
  <c r="B33"/>
  <c r="N33" s="1"/>
  <c r="N8"/>
  <c r="N7"/>
  <c r="M6"/>
  <c r="M9" s="1"/>
  <c r="L6"/>
  <c r="L9" s="1"/>
  <c r="K6"/>
  <c r="K9" s="1"/>
  <c r="J6"/>
  <c r="J9" s="1"/>
  <c r="I6"/>
  <c r="I9" s="1"/>
  <c r="H6"/>
  <c r="H9" s="1"/>
  <c r="G6"/>
  <c r="G9" s="1"/>
  <c r="F6"/>
  <c r="F9" s="1"/>
  <c r="E6"/>
  <c r="E9" s="1"/>
  <c r="D6"/>
  <c r="D9" s="1"/>
  <c r="C6"/>
  <c r="C9" s="1"/>
  <c r="B6"/>
  <c r="N6" s="1"/>
  <c r="N159" i="4"/>
  <c r="M159"/>
  <c r="L159"/>
  <c r="K159"/>
  <c r="J159"/>
  <c r="I159"/>
  <c r="H159"/>
  <c r="G159"/>
  <c r="F159"/>
  <c r="E159"/>
  <c r="D159"/>
  <c r="C159"/>
  <c r="B159"/>
  <c r="N158"/>
  <c r="M158"/>
  <c r="L158"/>
  <c r="K158"/>
  <c r="J158"/>
  <c r="I158"/>
  <c r="H158"/>
  <c r="G158"/>
  <c r="F158"/>
  <c r="E158"/>
  <c r="D158"/>
  <c r="C158"/>
  <c r="B158"/>
  <c r="N157"/>
  <c r="M157"/>
  <c r="L157"/>
  <c r="K157"/>
  <c r="J157"/>
  <c r="I157"/>
  <c r="H157"/>
  <c r="G157"/>
  <c r="F157"/>
  <c r="E157"/>
  <c r="D157"/>
  <c r="C157"/>
  <c r="B157"/>
  <c r="N133"/>
  <c r="M133"/>
  <c r="L133"/>
  <c r="K133"/>
  <c r="J133"/>
  <c r="I133"/>
  <c r="H133"/>
  <c r="G133"/>
  <c r="F133"/>
  <c r="E133"/>
  <c r="D133"/>
  <c r="C133"/>
  <c r="B133"/>
  <c r="N132"/>
  <c r="J132"/>
  <c r="I132"/>
  <c r="Q131"/>
  <c r="N131"/>
  <c r="M131"/>
  <c r="L131"/>
  <c r="K131"/>
  <c r="J131"/>
  <c r="I131"/>
  <c r="N111"/>
  <c r="M111"/>
  <c r="L111"/>
  <c r="K111"/>
  <c r="J111"/>
  <c r="I111"/>
  <c r="H111"/>
  <c r="G111"/>
  <c r="F111"/>
  <c r="E111"/>
  <c r="D111"/>
  <c r="C111"/>
  <c r="B111"/>
  <c r="N110"/>
  <c r="J110"/>
  <c r="I110"/>
  <c r="N109"/>
  <c r="M109"/>
  <c r="L109"/>
  <c r="K109"/>
  <c r="J109"/>
  <c r="I109"/>
  <c r="N87"/>
  <c r="N86"/>
  <c r="N85"/>
  <c r="M85"/>
  <c r="L85"/>
  <c r="K85"/>
  <c r="J85"/>
  <c r="I85"/>
  <c r="H85"/>
  <c r="G85"/>
  <c r="F85"/>
  <c r="E85"/>
  <c r="D85"/>
  <c r="C85"/>
  <c r="B85"/>
  <c r="N36"/>
  <c r="M36"/>
  <c r="L36"/>
  <c r="K36"/>
  <c r="J36"/>
  <c r="I36"/>
  <c r="H36"/>
  <c r="G36"/>
  <c r="F36"/>
  <c r="E36"/>
  <c r="D36"/>
  <c r="C36"/>
  <c r="B36"/>
  <c r="N35"/>
  <c r="N34"/>
  <c r="N33"/>
  <c r="M33"/>
  <c r="L33"/>
  <c r="K33"/>
  <c r="J33"/>
  <c r="I33"/>
  <c r="H33"/>
  <c r="G33"/>
  <c r="F33"/>
  <c r="E33"/>
  <c r="D33"/>
  <c r="C33"/>
  <c r="B33"/>
  <c r="N9"/>
  <c r="M9"/>
  <c r="L9"/>
  <c r="K9"/>
  <c r="J9"/>
  <c r="I9"/>
  <c r="H9"/>
  <c r="G9"/>
  <c r="F9"/>
  <c r="E9"/>
  <c r="D9"/>
  <c r="C9"/>
  <c r="B9"/>
  <c r="N8"/>
  <c r="N7"/>
  <c r="N6"/>
  <c r="M6"/>
  <c r="L6"/>
  <c r="K6"/>
  <c r="J6"/>
  <c r="I6"/>
  <c r="H6"/>
  <c r="G6"/>
  <c r="F6"/>
  <c r="E6"/>
  <c r="D6"/>
  <c r="C6"/>
  <c r="B6"/>
  <c r="N132" i="1"/>
  <c r="M132"/>
  <c r="L132"/>
  <c r="K132"/>
  <c r="J132"/>
  <c r="I132"/>
  <c r="H132"/>
  <c r="G132"/>
  <c r="F132"/>
  <c r="E132"/>
  <c r="D132"/>
  <c r="C132"/>
  <c r="B132"/>
  <c r="N131"/>
  <c r="M131"/>
  <c r="L131"/>
  <c r="K131"/>
  <c r="J131"/>
  <c r="I131"/>
  <c r="H131"/>
  <c r="G131"/>
  <c r="F131"/>
  <c r="E131"/>
  <c r="D131"/>
  <c r="C131"/>
  <c r="B131"/>
  <c r="N130"/>
  <c r="M130"/>
  <c r="L130"/>
  <c r="K130"/>
  <c r="J130"/>
  <c r="I130"/>
  <c r="H130"/>
  <c r="G130"/>
  <c r="F130"/>
  <c r="E130"/>
  <c r="D130"/>
  <c r="C130"/>
  <c r="B130"/>
  <c r="N109"/>
  <c r="M109"/>
  <c r="L109"/>
  <c r="K109"/>
  <c r="J109"/>
  <c r="I109"/>
  <c r="H109"/>
  <c r="G109"/>
  <c r="F109"/>
  <c r="E109"/>
  <c r="D109"/>
  <c r="C109"/>
  <c r="B109"/>
  <c r="N108"/>
  <c r="N107"/>
  <c r="M107"/>
  <c r="L107"/>
  <c r="K107"/>
  <c r="J107"/>
  <c r="I107"/>
  <c r="H107"/>
  <c r="G107"/>
  <c r="F107"/>
  <c r="E107"/>
  <c r="D107"/>
  <c r="C107"/>
  <c r="B107"/>
  <c r="N84"/>
  <c r="M84"/>
  <c r="L84"/>
  <c r="K84"/>
  <c r="J84"/>
  <c r="I84"/>
  <c r="H84"/>
  <c r="G84"/>
  <c r="F84"/>
  <c r="E84"/>
  <c r="D84"/>
  <c r="C84"/>
  <c r="B84"/>
  <c r="N83"/>
  <c r="N82"/>
  <c r="M82"/>
  <c r="L82"/>
  <c r="K82"/>
  <c r="J82"/>
  <c r="I82"/>
  <c r="H82"/>
  <c r="G82"/>
  <c r="F82"/>
  <c r="E82"/>
  <c r="D82"/>
  <c r="C82"/>
  <c r="B82"/>
  <c r="N60"/>
  <c r="N59"/>
  <c r="N58"/>
  <c r="M58"/>
  <c r="L58"/>
  <c r="K58"/>
  <c r="J58"/>
  <c r="I58"/>
  <c r="H58"/>
  <c r="G58"/>
  <c r="F58"/>
  <c r="E58"/>
  <c r="D58"/>
  <c r="C58"/>
  <c r="B58"/>
  <c r="N35"/>
  <c r="M35"/>
  <c r="L35"/>
  <c r="K35"/>
  <c r="J35"/>
  <c r="I35"/>
  <c r="H35"/>
  <c r="G35"/>
  <c r="F35"/>
  <c r="E35"/>
  <c r="D35"/>
  <c r="C35"/>
  <c r="B35"/>
  <c r="N34"/>
  <c r="N33"/>
  <c r="N32"/>
  <c r="M32"/>
  <c r="L32"/>
  <c r="K32"/>
  <c r="J32"/>
  <c r="I32"/>
  <c r="H32"/>
  <c r="G32"/>
  <c r="F32"/>
  <c r="E32"/>
  <c r="D32"/>
  <c r="C32"/>
  <c r="B32"/>
  <c r="N9"/>
  <c r="M9"/>
  <c r="L9"/>
  <c r="K9"/>
  <c r="J9"/>
  <c r="I9"/>
  <c r="H9"/>
  <c r="G9"/>
  <c r="F9"/>
  <c r="E9"/>
  <c r="D9"/>
  <c r="C9"/>
  <c r="B9"/>
  <c r="N8"/>
  <c r="N7"/>
  <c r="N6"/>
  <c r="M6"/>
  <c r="L6"/>
  <c r="K6"/>
  <c r="J6"/>
  <c r="I6"/>
  <c r="H6"/>
  <c r="G6"/>
  <c r="F6"/>
  <c r="E6"/>
  <c r="D6"/>
  <c r="C6"/>
  <c r="B6"/>
  <c r="G5" i="8"/>
  <c r="G5" i="7"/>
  <c r="N15" i="9"/>
  <c r="N14"/>
  <c r="N13"/>
  <c r="M13"/>
  <c r="L13"/>
  <c r="K13"/>
  <c r="J13"/>
  <c r="I13"/>
  <c r="H13"/>
  <c r="G13"/>
  <c r="F13"/>
  <c r="E13"/>
  <c r="D13"/>
  <c r="C13"/>
  <c r="B13"/>
  <c r="N6"/>
  <c r="N5"/>
  <c r="N4"/>
  <c r="M4"/>
  <c r="L4"/>
  <c r="K4"/>
  <c r="J4"/>
  <c r="I4"/>
  <c r="H4"/>
  <c r="G4"/>
  <c r="F4"/>
  <c r="E4"/>
  <c r="D4"/>
  <c r="C4"/>
  <c r="B4"/>
  <c r="D157" i="10" l="1"/>
  <c r="H157"/>
  <c r="L157"/>
  <c r="N155"/>
  <c r="N157" s="1"/>
  <c r="N132"/>
  <c r="E157"/>
  <c r="I157"/>
  <c r="M157"/>
  <c r="E110"/>
  <c r="B132"/>
  <c r="N36"/>
  <c r="N33"/>
  <c r="N9"/>
  <c r="N6"/>
  <c r="C157" i="19"/>
  <c r="G157"/>
  <c r="K157"/>
  <c r="N9"/>
  <c r="B9"/>
  <c r="N33"/>
  <c r="N36" s="1"/>
  <c r="F110"/>
  <c r="F132"/>
  <c r="D155" i="5"/>
  <c r="H155"/>
  <c r="N9"/>
  <c r="C155"/>
  <c r="G155"/>
  <c r="K155"/>
  <c r="L155"/>
  <c r="B9"/>
  <c r="B36"/>
  <c r="N108"/>
  <c r="N153" s="1"/>
  <c r="N155" s="1"/>
  <c r="C110"/>
  <c r="G110"/>
  <c r="F110"/>
  <c r="J110"/>
  <c r="N109"/>
  <c r="E110"/>
  <c r="I110"/>
  <c r="B132"/>
  <c r="H110"/>
  <c r="M132" i="21"/>
  <c r="M156"/>
  <c r="M157" s="1"/>
  <c r="L157"/>
  <c r="N33" i="20"/>
  <c r="L129" i="18"/>
  <c r="N34" i="20"/>
  <c r="N84" i="21"/>
  <c r="N155"/>
  <c r="N33"/>
  <c r="N36" s="1"/>
  <c r="I36" i="20"/>
  <c r="N131" i="21"/>
  <c r="L106" i="18" s="1"/>
  <c r="N6" i="21"/>
  <c r="N9" s="1"/>
  <c r="N109"/>
  <c r="L84" i="18" s="1"/>
  <c r="K6" i="20"/>
  <c r="N6" s="1"/>
  <c r="J36"/>
  <c r="N156"/>
  <c r="N157" s="1"/>
  <c r="N110"/>
  <c r="K36"/>
  <c r="N8"/>
  <c r="N35"/>
  <c r="N36" s="1"/>
  <c r="K110"/>
  <c r="L33" i="18"/>
  <c r="N110" i="5" l="1"/>
  <c r="L36" i="18"/>
  <c r="L9"/>
  <c r="N132" i="21"/>
  <c r="L130" i="18"/>
  <c r="N9" i="20"/>
  <c r="K9"/>
  <c r="N156" i="21"/>
  <c r="N157" s="1"/>
  <c r="N110"/>
  <c r="L6" i="18"/>
  <c r="L131" l="1"/>
  <c r="L58"/>
</calcChain>
</file>

<file path=xl/sharedStrings.xml><?xml version="1.0" encoding="utf-8"?>
<sst xmlns="http://schemas.openxmlformats.org/spreadsheetml/2006/main" count="1221" uniqueCount="123">
  <si>
    <t xml:space="preserve">COMÉRCIO EXTERIOR BAIANO </t>
  </si>
  <si>
    <t>Da Bahia</t>
  </si>
  <si>
    <t>Janeiro</t>
  </si>
  <si>
    <t>Março</t>
  </si>
  <si>
    <t>Fevereiro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</si>
  <si>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</si>
  <si>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</si>
  <si>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</si>
  <si>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</si>
  <si>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</si>
  <si>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</si>
  <si>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</si>
  <si>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</si>
  <si>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</si>
  <si>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MOVIMENTAÇÃO DE CARGAS EM TONELADAS </t>
  </si>
  <si>
    <t>MOVIMENTAÇÃO DE CARGAS CONTEINERIZADAS</t>
  </si>
  <si>
    <t>PORTOS</t>
  </si>
  <si>
    <t>De Fora da Bahia</t>
  </si>
  <si>
    <t>COMÉRCIO EXTERIOR BAIANO</t>
  </si>
  <si>
    <t>Ano</t>
  </si>
  <si>
    <t>TOTAL</t>
  </si>
  <si>
    <t>Fonte: Mdic/Secex</t>
  </si>
  <si>
    <t xml:space="preserve">MOVIMENTAÇÃO DE CARGAS POR VIA MARÍTIMA </t>
  </si>
  <si>
    <t>MOVIMENTAÇÃO DE CARGAS POR VIA MARÍTIMA CONTEINERIZADAS</t>
  </si>
  <si>
    <t>Portos - Total</t>
  </si>
  <si>
    <t>em toneladas</t>
  </si>
  <si>
    <t>Importação</t>
  </si>
  <si>
    <t>Exportação</t>
  </si>
  <si>
    <t>Brasil</t>
  </si>
  <si>
    <t>Bahia</t>
  </si>
  <si>
    <t>Evolução das Exportações do Brasil e da Bahia(%) por via marítima - 2010</t>
  </si>
  <si>
    <t>Evolução das Importações do Brasil e da Bahia(%) por via marítima - 2010</t>
  </si>
  <si>
    <t>Evolução do Comex Baiano por via marítima - 2010</t>
  </si>
  <si>
    <t>Comércio Exterior Baiano</t>
  </si>
  <si>
    <t>Evolução da corrente de comércio em 12 meses</t>
  </si>
  <si>
    <t>Cargas Conteinerizadas - Toneladas</t>
  </si>
  <si>
    <t>Total</t>
  </si>
  <si>
    <t xml:space="preserve">Portos - Total </t>
  </si>
  <si>
    <t>Portos - Bahia</t>
  </si>
  <si>
    <t>BA/BR %</t>
  </si>
  <si>
    <t>Evolução do Comex Baiano por via marítima - 2011</t>
  </si>
  <si>
    <t>Evolução das Exportações do Brasil e da Bahia(%) por via marítima - 2011</t>
  </si>
  <si>
    <t>Evolução do Comex Baiano por via marítima - 2012</t>
  </si>
  <si>
    <t>Evolução das Exportações do Brasil e da Bahia(%) por via marítima - 2012</t>
  </si>
  <si>
    <t>Evolução das Importações do Brasil e da Bahia(%) por via marítima - 2012</t>
  </si>
  <si>
    <t>em Toneladas</t>
  </si>
  <si>
    <t xml:space="preserve">MOVIMENTAÇÃO DE CARGAS </t>
  </si>
  <si>
    <t xml:space="preserve">MOVIMENTAÇÃO ANUAL DE CARGAS </t>
  </si>
  <si>
    <t xml:space="preserve">MOVIMENTAÇÃO ANUAL DE CARGAS CONTEINERIZADAS </t>
  </si>
  <si>
    <t>Evolução do Comex Baiano por via marítima - 2013</t>
  </si>
  <si>
    <t>Evolução das Exportações do Brasil e da Bahia(%) por via marítima - 2013</t>
  </si>
  <si>
    <t>Evolução das Importações do Brasil e da Bahia(%) por via marítima - 2013</t>
  </si>
  <si>
    <t>Comex - Total</t>
  </si>
  <si>
    <t xml:space="preserve">Total </t>
  </si>
  <si>
    <t>COMÉRCIO EXTERIOR BAIANO - VIA MARÍTIMA</t>
  </si>
  <si>
    <t>em dolares ($)</t>
  </si>
  <si>
    <t>BA/BR</t>
  </si>
  <si>
    <t>Evolução das Comex do Brasil e da Bahia(%) por via marítima - 2013</t>
  </si>
  <si>
    <t>Evolução das Comex do Brasil e da Bahia(%) por via marítima - 2012</t>
  </si>
  <si>
    <t>Evolução das Comex do Brasil e da Bahia(%) por via marítima - 2011</t>
  </si>
  <si>
    <t>Evolução das Comex do Brasil e da Bahia(%) por via marítima - 2010</t>
  </si>
  <si>
    <t>Evolução do Comex Baiano por via marítima - 2014</t>
  </si>
  <si>
    <t>Evolução das Exportações do Brasil e da Bahia(%) por via marítima - 2014</t>
  </si>
  <si>
    <t>Evolução das Importações do Brasil e da Bahia(%) por via marítima - 2014</t>
  </si>
  <si>
    <t>Evolução dos Comex do Brasil e da Bahia(%) por via marítima - 2014</t>
  </si>
  <si>
    <t>Evolução do Comex Brasil por via marítima - 2013</t>
  </si>
  <si>
    <t>MOVIMENTAÇÃO ANUAL DE CARGAS - PARTICIPAÇÃO DA BAHIA NO BRASIL (%)</t>
  </si>
  <si>
    <t>De Fora da Bahia/Portos - Total %</t>
  </si>
  <si>
    <t>De Fora da Bahia/Total dos Portos %</t>
  </si>
  <si>
    <t>Evolução das Importações do Brasil e da Bahia(%) por via marítima - 2011</t>
  </si>
  <si>
    <t xml:space="preserve">Evolução do Comex Baiano por via marítima </t>
  </si>
  <si>
    <t>Fonte: Mdic</t>
  </si>
  <si>
    <t>Evolução do Comex Baiano por via marítima - 2015</t>
  </si>
  <si>
    <t>Evolução das Exportações do Brasil e da Bahia(%) por via marítima - 2015</t>
  </si>
  <si>
    <t>Evolução das Importações do Brasil e da Bahia(%) por via marítima - 2015</t>
  </si>
  <si>
    <t>Evolução dos Comex do Brasil e da Bahia(%) por via marítima - 2015</t>
  </si>
  <si>
    <t>dez.2015</t>
  </si>
  <si>
    <t>mai.2016</t>
  </si>
  <si>
    <t>mar.2016</t>
  </si>
  <si>
    <t>abr.2016</t>
  </si>
  <si>
    <t>jan.2016</t>
  </si>
  <si>
    <t>fev.2016</t>
  </si>
  <si>
    <t>jun.2016</t>
  </si>
  <si>
    <t>Evolução das Exportações do Brasil e da Bahia(%) por via marítima - 2016</t>
  </si>
  <si>
    <t>Evolução das Importações do Brasil e da Bahia(%) por via marítima - 2016</t>
  </si>
  <si>
    <t>Evolução dos Comex do Brasil e da Bahia(%) por via marítima - 2016</t>
  </si>
  <si>
    <t>jul.2016</t>
  </si>
  <si>
    <t>ago.2016</t>
  </si>
  <si>
    <t>set.2016</t>
  </si>
  <si>
    <t>out.2016</t>
  </si>
  <si>
    <t>Evolução do Comex Baiano por via marítima - 2016</t>
  </si>
  <si>
    <t>nov.2016</t>
  </si>
  <si>
    <t>dez.2016</t>
  </si>
  <si>
    <t>2017 (1)</t>
  </si>
  <si>
    <t>jan.2017</t>
  </si>
  <si>
    <t>fev.2017</t>
  </si>
  <si>
    <t>mar.2017</t>
  </si>
  <si>
    <t>Evolução das Exportações do Brasil e da Bahia(%) por via marítima - 2017</t>
  </si>
  <si>
    <t>Evolução do Comex Baiano por via marítima - 2017</t>
  </si>
  <si>
    <t>Evolução das Importações do Brasil e da Bahia(%) por via marítima - 2017</t>
  </si>
  <si>
    <t>Evolução dos Comex do Brasil e da Bahia(%) por via marítima - 2017</t>
  </si>
  <si>
    <t>abr.2017</t>
  </si>
  <si>
    <t>mai.2017</t>
  </si>
  <si>
    <t>jun.2017</t>
  </si>
  <si>
    <t>jul.2017</t>
  </si>
  <si>
    <t>ago.2017</t>
  </si>
  <si>
    <t>set.2017</t>
  </si>
  <si>
    <t>out.2017</t>
  </si>
  <si>
    <t>nov.2017</t>
  </si>
  <si>
    <t>dez.2017</t>
  </si>
  <si>
    <t>Evolução dos Comex do Brasil e da Bahia(%) por via marítima - 2018</t>
  </si>
  <si>
    <t>Evolução das Importações do Brasil e da Bahia(%) por via marítima - 2018</t>
  </si>
  <si>
    <t>Evolução do Comex Baiano por via marítima - 2018</t>
  </si>
  <si>
    <t>Evolução das Exportações do Brasil e da Bahia(%) por via marítima - 2018</t>
  </si>
  <si>
    <t>2018 (1)</t>
  </si>
  <si>
    <t>jan.2018</t>
  </si>
  <si>
    <t>fev.2018</t>
  </si>
  <si>
    <t>mar.2018</t>
  </si>
  <si>
    <t>abr.2018</t>
  </si>
  <si>
    <t>mai.2018</t>
  </si>
  <si>
    <t>jun.2018</t>
  </si>
  <si>
    <t>jul.2018</t>
  </si>
  <si>
    <t>(1) Acumulado até julho.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</si>
</sst>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[$$-409]* #,##0_ ;_-[$$-409]* \-#,##0\ ;_-[$$-409]* &quot;-&quot;??_ ;_-@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name val="Cali["/>
    </font>
    <font>
      <sz val="11"/>
      <color theme="1"/>
      <name val="Cali["/>
    </font>
    <font>
      <sz val="8"/>
      <color rgb="FF222222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4FE11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2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63">
    <xf numFmtId="0" fontId="0" fillId="0" borderId="0" xfId="0"/>
    <xf numFmtId="0" fontId="0" fillId="0" borderId="1" xfId="0" applyBorder="1"/>
    <xf numFmtId="164" fontId="2" fillId="2" borderId="1" xfId="2" applyNumberFormat="1" applyFont="1" applyFill="1" applyBorder="1"/>
    <xf numFmtId="164" fontId="2" fillId="2" borderId="1" xfId="2" applyNumberFormat="1" applyFont="1" applyFill="1" applyBorder="1"/>
    <xf numFmtId="164" fontId="2" fillId="0" borderId="1" xfId="2" applyNumberFormat="1" applyFont="1" applyBorder="1"/>
    <xf numFmtId="0" fontId="0" fillId="0" borderId="1" xfId="0" applyBorder="1" applyAlignment="1">
      <alignment horizontal="left"/>
    </xf>
    <xf numFmtId="0" fontId="0" fillId="3" borderId="0" xfId="0" applyFill="1"/>
    <xf numFmtId="0" fontId="0" fillId="0" borderId="1" xfId="0" applyFill="1" applyBorder="1"/>
    <xf numFmtId="0" fontId="3" fillId="4" borderId="0" xfId="0" applyFont="1" applyFill="1"/>
    <xf numFmtId="0" fontId="3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/>
    <xf numFmtId="164" fontId="2" fillId="0" borderId="1" xfId="2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0" fillId="5" borderId="1" xfId="0" applyFill="1" applyBorder="1"/>
    <xf numFmtId="0" fontId="0" fillId="6" borderId="1" xfId="0" applyFill="1" applyBorder="1"/>
    <xf numFmtId="9" fontId="2" fillId="0" borderId="0" xfId="1" applyFont="1"/>
    <xf numFmtId="0" fontId="0" fillId="4" borderId="1" xfId="0" applyFont="1" applyFill="1" applyBorder="1"/>
    <xf numFmtId="164" fontId="2" fillId="0" borderId="1" xfId="2" applyNumberFormat="1" applyFont="1" applyBorder="1"/>
    <xf numFmtId="0" fontId="4" fillId="5" borderId="1" xfId="0" applyFont="1" applyFill="1" applyBorder="1"/>
    <xf numFmtId="164" fontId="2" fillId="0" borderId="1" xfId="2" applyNumberFormat="1" applyFont="1" applyFill="1" applyBorder="1"/>
    <xf numFmtId="165" fontId="2" fillId="0" borderId="1" xfId="1" applyNumberFormat="1" applyFont="1" applyBorder="1"/>
    <xf numFmtId="0" fontId="0" fillId="0" borderId="1" xfId="0" applyFill="1" applyBorder="1" applyAlignment="1">
      <alignment horizontal="center"/>
    </xf>
    <xf numFmtId="0" fontId="0" fillId="0" borderId="0" xfId="0" applyBorder="1"/>
    <xf numFmtId="17" fontId="0" fillId="0" borderId="1" xfId="0" applyNumberFormat="1" applyBorder="1"/>
    <xf numFmtId="164" fontId="2" fillId="0" borderId="0" xfId="2" applyNumberFormat="1" applyFont="1"/>
    <xf numFmtId="0" fontId="0" fillId="6" borderId="0" xfId="0" applyFill="1" applyAlignment="1">
      <alignment horizontal="center"/>
    </xf>
    <xf numFmtId="9" fontId="2" fillId="0" borderId="1" xfId="1" applyFont="1" applyBorder="1"/>
    <xf numFmtId="164" fontId="0" fillId="0" borderId="1" xfId="0" applyNumberFormat="1" applyBorder="1"/>
    <xf numFmtId="9" fontId="3" fillId="0" borderId="1" xfId="1" applyFont="1" applyBorder="1"/>
    <xf numFmtId="0" fontId="3" fillId="0" borderId="1" xfId="0" applyFont="1" applyFill="1" applyBorder="1"/>
    <xf numFmtId="164" fontId="2" fillId="0" borderId="0" xfId="2" applyNumberFormat="1" applyFont="1" applyBorder="1"/>
    <xf numFmtId="0" fontId="0" fillId="0" borderId="2" xfId="0" applyBorder="1"/>
    <xf numFmtId="164" fontId="0" fillId="0" borderId="2" xfId="0" applyNumberFormat="1" applyBorder="1"/>
    <xf numFmtId="164" fontId="2" fillId="0" borderId="2" xfId="2" applyNumberFormat="1" applyFont="1" applyBorder="1"/>
    <xf numFmtId="0" fontId="0" fillId="8" borderId="1" xfId="0" applyFill="1" applyBorder="1"/>
    <xf numFmtId="164" fontId="2" fillId="0" borderId="1" xfId="2" applyNumberFormat="1" applyFont="1" applyBorder="1"/>
    <xf numFmtId="164" fontId="2" fillId="0" borderId="0" xfId="2" applyNumberFormat="1" applyFont="1"/>
    <xf numFmtId="10" fontId="2" fillId="0" borderId="0" xfId="1" applyNumberFormat="1" applyFont="1"/>
    <xf numFmtId="164" fontId="3" fillId="0" borderId="0" xfId="2" applyNumberFormat="1" applyFont="1" applyFill="1" applyBorder="1"/>
    <xf numFmtId="164" fontId="4" fillId="0" borderId="1" xfId="2" applyNumberFormat="1" applyFont="1" applyBorder="1"/>
    <xf numFmtId="164" fontId="4" fillId="2" borderId="1" xfId="2" applyNumberFormat="1" applyFont="1" applyFill="1" applyBorder="1"/>
    <xf numFmtId="164" fontId="0" fillId="0" borderId="1" xfId="2" applyNumberFormat="1" applyFont="1" applyBorder="1"/>
    <xf numFmtId="164" fontId="0" fillId="0" borderId="1" xfId="2" applyNumberFormat="1" applyFont="1" applyFill="1" applyBorder="1"/>
    <xf numFmtId="164" fontId="0" fillId="0" borderId="0" xfId="2" applyNumberFormat="1" applyFont="1"/>
    <xf numFmtId="17" fontId="0" fillId="0" borderId="1" xfId="0" applyNumberFormat="1" applyBorder="1" applyAlignment="1">
      <alignment horizontal="right"/>
    </xf>
    <xf numFmtId="9" fontId="0" fillId="0" borderId="0" xfId="1" applyFont="1"/>
    <xf numFmtId="165" fontId="3" fillId="0" borderId="1" xfId="1" applyNumberFormat="1" applyFont="1" applyBorder="1"/>
    <xf numFmtId="0" fontId="0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 applyBorder="1" applyAlignment="1">
      <alignment horizontal="center"/>
    </xf>
    <xf numFmtId="3" fontId="0" fillId="0" borderId="0" xfId="0" applyNumberFormat="1"/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3" fillId="0" borderId="2" xfId="0" applyFont="1" applyBorder="1"/>
    <xf numFmtId="0" fontId="3" fillId="0" borderId="5" xfId="2" applyNumberFormat="1" applyFont="1" applyFill="1" applyBorder="1"/>
    <xf numFmtId="0" fontId="3" fillId="0" borderId="5" xfId="0" applyFont="1" applyBorder="1"/>
    <xf numFmtId="0" fontId="3" fillId="0" borderId="4" xfId="2" applyNumberFormat="1" applyFont="1" applyFill="1" applyBorder="1"/>
    <xf numFmtId="164" fontId="2" fillId="0" borderId="2" xfId="2" applyNumberFormat="1" applyFont="1" applyFill="1" applyBorder="1" applyAlignment="1">
      <alignment horizontal="left"/>
    </xf>
    <xf numFmtId="164" fontId="2" fillId="0" borderId="5" xfId="2" applyNumberFormat="1" applyFont="1" applyBorder="1"/>
    <xf numFmtId="17" fontId="0" fillId="0" borderId="0" xfId="0" applyNumberFormat="1" applyBorder="1"/>
    <xf numFmtId="164" fontId="0" fillId="0" borderId="0" xfId="2" applyNumberFormat="1" applyFont="1" applyBorder="1"/>
    <xf numFmtId="17" fontId="3" fillId="0" borderId="1" xfId="0" applyNumberFormat="1" applyFont="1" applyBorder="1"/>
    <xf numFmtId="0" fontId="0" fillId="2" borderId="0" xfId="0" applyFill="1" applyBorder="1"/>
    <xf numFmtId="0" fontId="3" fillId="2" borderId="0" xfId="0" applyFont="1" applyFill="1" applyBorder="1"/>
    <xf numFmtId="164" fontId="2" fillId="2" borderId="0" xfId="2" applyNumberFormat="1" applyFont="1" applyFill="1" applyBorder="1"/>
    <xf numFmtId="3" fontId="0" fillId="2" borderId="0" xfId="0" applyNumberFormat="1" applyFill="1" applyBorder="1"/>
    <xf numFmtId="164" fontId="3" fillId="2" borderId="0" xfId="0" applyNumberFormat="1" applyFont="1" applyFill="1" applyBorder="1"/>
    <xf numFmtId="165" fontId="2" fillId="2" borderId="0" xfId="1" applyNumberFormat="1" applyFont="1" applyFill="1" applyBorder="1"/>
    <xf numFmtId="165" fontId="3" fillId="2" borderId="0" xfId="1" applyNumberFormat="1" applyFont="1" applyFill="1" applyBorder="1"/>
    <xf numFmtId="0" fontId="3" fillId="10" borderId="1" xfId="0" applyFont="1" applyFill="1" applyBorder="1"/>
    <xf numFmtId="164" fontId="3" fillId="0" borderId="1" xfId="2" applyNumberFormat="1" applyFont="1" applyBorder="1"/>
    <xf numFmtId="164" fontId="3" fillId="0" borderId="1" xfId="2" applyNumberFormat="1" applyFont="1" applyFill="1" applyBorder="1"/>
    <xf numFmtId="164" fontId="3" fillId="0" borderId="0" xfId="2" applyNumberFormat="1" applyFont="1"/>
    <xf numFmtId="164" fontId="3" fillId="10" borderId="1" xfId="2" applyNumberFormat="1" applyFont="1" applyFill="1" applyBorder="1"/>
    <xf numFmtId="164" fontId="3" fillId="0" borderId="0" xfId="2" applyNumberFormat="1" applyFont="1" applyBorder="1"/>
    <xf numFmtId="3" fontId="0" fillId="0" borderId="1" xfId="0" applyNumberFormat="1" applyBorder="1"/>
    <xf numFmtId="164" fontId="0" fillId="0" borderId="0" xfId="0" applyNumberFormat="1"/>
    <xf numFmtId="10" fontId="2" fillId="0" borderId="6" xfId="1" applyNumberFormat="1" applyFont="1" applyFill="1" applyBorder="1"/>
    <xf numFmtId="10" fontId="0" fillId="0" borderId="0" xfId="0" applyNumberFormat="1"/>
    <xf numFmtId="0" fontId="4" fillId="2" borderId="0" xfId="0" applyFont="1" applyFill="1" applyBorder="1" applyAlignment="1">
      <alignment horizontal="center"/>
    </xf>
    <xf numFmtId="164" fontId="0" fillId="2" borderId="0" xfId="2" applyNumberFormat="1" applyFont="1" applyFill="1" applyBorder="1"/>
    <xf numFmtId="10" fontId="0" fillId="0" borderId="0" xfId="1" applyNumberFormat="1" applyFont="1"/>
    <xf numFmtId="166" fontId="2" fillId="2" borderId="0" xfId="2" applyNumberFormat="1" applyFont="1" applyFill="1" applyBorder="1"/>
    <xf numFmtId="165" fontId="0" fillId="2" borderId="0" xfId="1" applyNumberFormat="1" applyFont="1" applyFill="1" applyBorder="1"/>
    <xf numFmtId="164" fontId="3" fillId="0" borderId="7" xfId="0" applyNumberFormat="1" applyFont="1" applyFill="1" applyBorder="1"/>
    <xf numFmtId="165" fontId="0" fillId="0" borderId="0" xfId="1" applyNumberFormat="1" applyFont="1"/>
    <xf numFmtId="3" fontId="5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2" xfId="0" applyNumberFormat="1" applyFont="1" applyBorder="1"/>
    <xf numFmtId="0" fontId="4" fillId="2" borderId="0" xfId="0" applyFont="1" applyFill="1" applyBorder="1" applyAlignment="1">
      <alignment horizontal="center"/>
    </xf>
    <xf numFmtId="164" fontId="0" fillId="0" borderId="1" xfId="2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2" fillId="0" borderId="1" xfId="2" applyNumberFormat="1" applyFont="1" applyFill="1" applyBorder="1"/>
    <xf numFmtId="0" fontId="0" fillId="0" borderId="8" xfId="0" applyBorder="1"/>
    <xf numFmtId="0" fontId="0" fillId="2" borderId="1" xfId="0" applyFont="1" applyFill="1" applyBorder="1" applyAlignment="1">
      <alignment horizontal="center"/>
    </xf>
    <xf numFmtId="10" fontId="2" fillId="0" borderId="5" xfId="1" applyNumberFormat="1" applyFont="1" applyBorder="1"/>
    <xf numFmtId="10" fontId="0" fillId="0" borderId="8" xfId="1" applyNumberFormat="1" applyFont="1" applyBorder="1"/>
    <xf numFmtId="10" fontId="2" fillId="0" borderId="2" xfId="1" applyNumberFormat="1" applyFont="1" applyFill="1" applyBorder="1" applyAlignment="1">
      <alignment horizontal="left"/>
    </xf>
    <xf numFmtId="10" fontId="3" fillId="0" borderId="1" xfId="1" applyNumberFormat="1" applyFont="1" applyBorder="1"/>
    <xf numFmtId="0" fontId="3" fillId="0" borderId="1" xfId="0" applyFont="1" applyBorder="1" applyAlignment="1">
      <alignment horizontal="left"/>
    </xf>
    <xf numFmtId="10" fontId="3" fillId="0" borderId="1" xfId="1" applyNumberFormat="1" applyFont="1" applyBorder="1" applyAlignment="1">
      <alignment horizontal="center"/>
    </xf>
    <xf numFmtId="0" fontId="3" fillId="9" borderId="1" xfId="0" applyFont="1" applyFill="1" applyBorder="1"/>
    <xf numFmtId="10" fontId="3" fillId="2" borderId="1" xfId="1" applyNumberFormat="1" applyFont="1" applyFill="1" applyBorder="1"/>
    <xf numFmtId="164" fontId="0" fillId="0" borderId="1" xfId="0" applyNumberFormat="1" applyFont="1" applyBorder="1"/>
    <xf numFmtId="10" fontId="3" fillId="9" borderId="1" xfId="1" applyNumberFormat="1" applyFont="1" applyFill="1" applyBorder="1"/>
    <xf numFmtId="165" fontId="3" fillId="2" borderId="1" xfId="1" applyNumberFormat="1" applyFont="1" applyFill="1" applyBorder="1"/>
    <xf numFmtId="164" fontId="7" fillId="2" borderId="1" xfId="2" applyNumberFormat="1" applyFont="1" applyFill="1" applyBorder="1"/>
    <xf numFmtId="164" fontId="4" fillId="0" borderId="1" xfId="16" applyNumberFormat="1" applyFont="1" applyBorder="1" applyAlignment="1">
      <alignment horizontal="right"/>
    </xf>
    <xf numFmtId="164" fontId="4" fillId="0" borderId="1" xfId="16" applyNumberFormat="1" applyFont="1" applyBorder="1"/>
    <xf numFmtId="10" fontId="3" fillId="0" borderId="0" xfId="1" applyNumberFormat="1" applyFont="1"/>
    <xf numFmtId="0" fontId="0" fillId="5" borderId="1" xfId="0" applyFont="1" applyFill="1" applyBorder="1"/>
    <xf numFmtId="0" fontId="0" fillId="0" borderId="0" xfId="0" applyFont="1"/>
    <xf numFmtId="3" fontId="0" fillId="0" borderId="0" xfId="0" applyNumberFormat="1" applyFont="1" applyFill="1" applyBorder="1" applyAlignment="1"/>
    <xf numFmtId="3" fontId="0" fillId="0" borderId="1" xfId="0" applyNumberFormat="1" applyFont="1" applyFill="1" applyBorder="1" applyAlignment="1"/>
    <xf numFmtId="0" fontId="4" fillId="2" borderId="0" xfId="0" applyFont="1" applyFill="1" applyBorder="1" applyAlignment="1">
      <alignment horizontal="center"/>
    </xf>
    <xf numFmtId="164" fontId="4" fillId="0" borderId="1" xfId="22" applyNumberFormat="1" applyFont="1" applyBorder="1" applyAlignment="1">
      <alignment horizontal="right"/>
    </xf>
    <xf numFmtId="164" fontId="4" fillId="0" borderId="1" xfId="22" applyNumberFormat="1" applyFont="1" applyBorder="1"/>
    <xf numFmtId="0" fontId="4" fillId="2" borderId="0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3" fontId="0" fillId="0" borderId="0" xfId="0" applyNumberFormat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164" fontId="8" fillId="0" borderId="1" xfId="16" applyNumberFormat="1" applyFont="1" applyBorder="1" applyAlignment="1">
      <alignment horizontal="right"/>
    </xf>
    <xf numFmtId="164" fontId="9" fillId="2" borderId="1" xfId="2" applyNumberFormat="1" applyFont="1" applyFill="1" applyBorder="1"/>
    <xf numFmtId="164" fontId="8" fillId="0" borderId="1" xfId="16" applyNumberFormat="1" applyFont="1" applyBorder="1"/>
    <xf numFmtId="0" fontId="0" fillId="0" borderId="0" xfId="0" applyAlignment="1">
      <alignment vertical="center" wrapText="1"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vertical="center"/>
    </xf>
    <xf numFmtId="17" fontId="3" fillId="0" borderId="1" xfId="0" applyNumberFormat="1" applyFont="1" applyBorder="1" applyAlignment="1">
      <alignment horizontal="right"/>
    </xf>
    <xf numFmtId="3" fontId="10" fillId="0" borderId="0" xfId="0" applyNumberFormat="1" applyFont="1"/>
    <xf numFmtId="165" fontId="3" fillId="0" borderId="7" xfId="1" applyNumberFormat="1" applyFont="1" applyFill="1" applyBorder="1"/>
    <xf numFmtId="164" fontId="3" fillId="0" borderId="1" xfId="0" quotePrefix="1" applyNumberFormat="1" applyFont="1" applyBorder="1"/>
    <xf numFmtId="9" fontId="3" fillId="0" borderId="0" xfId="1" applyFont="1"/>
    <xf numFmtId="0" fontId="0" fillId="0" borderId="1" xfId="0" applyFont="1" applyBorder="1"/>
    <xf numFmtId="164" fontId="0" fillId="0" borderId="1" xfId="2" applyNumberFormat="1" applyFont="1" applyBorder="1" applyAlignment="1">
      <alignment horizontal="right"/>
    </xf>
    <xf numFmtId="0" fontId="0" fillId="7" borderId="0" xfId="0" applyFill="1" applyAlignment="1">
      <alignment horizontal="center"/>
    </xf>
    <xf numFmtId="0" fontId="0" fillId="7" borderId="0" xfId="0" applyFont="1" applyFill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11" borderId="0" xfId="0" applyFill="1" applyAlignment="1">
      <alignment horizontal="center"/>
    </xf>
    <xf numFmtId="0" fontId="4" fillId="11" borderId="0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0" fillId="7" borderId="0" xfId="0" applyFill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</cellXfs>
  <cellStyles count="26">
    <cellStyle name="Normal" xfId="0" builtinId="0"/>
    <cellStyle name="Normal 2" xfId="5"/>
    <cellStyle name="Normal 2 2" xfId="18"/>
    <cellStyle name="Normal 3" xfId="6"/>
    <cellStyle name="Normal 3 2" xfId="12"/>
    <cellStyle name="Normal 4" xfId="7"/>
    <cellStyle name="Normal 5" xfId="4"/>
    <cellStyle name="Normal 5 2" xfId="19"/>
    <cellStyle name="Normal 6" xfId="23"/>
    <cellStyle name="Porcentagem" xfId="1" builtinId="5"/>
    <cellStyle name="Porcentagem 2" xfId="9"/>
    <cellStyle name="Porcentagem 2 2" xfId="10"/>
    <cellStyle name="Porcentagem 3" xfId="11"/>
    <cellStyle name="Porcentagem 3 2" xfId="20"/>
    <cellStyle name="Porcentagem 4" xfId="8"/>
    <cellStyle name="Porcentagem 4 2" xfId="17"/>
    <cellStyle name="Porcentagem 5" xfId="24"/>
    <cellStyle name="Separador de milhares" xfId="2" builtinId="3"/>
    <cellStyle name="Separador de milhares 2" xfId="3"/>
    <cellStyle name="Vírgula 2" xfId="14"/>
    <cellStyle name="Vírgula 2 2" xfId="15"/>
    <cellStyle name="Vírgula 3" xfId="16"/>
    <cellStyle name="Vírgula 3 2" xfId="22"/>
    <cellStyle name="Vírgula 4" xfId="13"/>
    <cellStyle name="Vírgula 4 2" xfId="21"/>
    <cellStyle name="Vírgula 5" xfId="25"/>
  </cellStyles>
  <dxfs count="0"/>
  <tableStyles count="0" defaultTableStyle="TableStyleMedium9" defaultPivotStyle="PivotStyleLight16"/>
  <colors>
    <mruColors>
      <color rgb="FF0033CC"/>
      <color rgb="FF000099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1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cat>
            <c:numRef>
              <c:f>'Total de Cargas (anual)'!$B$4:$G$4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'Total de Cargas (anual)'!$B$5:$G$5</c:f>
              <c:numCache>
                <c:formatCode>_-* #,##0_-;\-* #,##0_-;_-* "-"??_-;_-@_-</c:formatCode>
                <c:ptCount val="6"/>
                <c:pt idx="0">
                  <c:v>14390646</c:v>
                </c:pt>
                <c:pt idx="1">
                  <c:v>13832837</c:v>
                </c:pt>
                <c:pt idx="2">
                  <c:v>16269111</c:v>
                </c:pt>
                <c:pt idx="3">
                  <c:v>14322991</c:v>
                </c:pt>
                <c:pt idx="4">
                  <c:v>16610809.550999997</c:v>
                </c:pt>
                <c:pt idx="5" formatCode="General">
                  <c:v>15764048.210000001</c:v>
                </c:pt>
              </c:numCache>
            </c:numRef>
          </c:val>
        </c:ser>
        <c:axId val="95154944"/>
        <c:axId val="95156480"/>
      </c:barChart>
      <c:catAx>
        <c:axId val="95154944"/>
        <c:scaling>
          <c:orientation val="minMax"/>
        </c:scaling>
        <c:axPos val="b"/>
        <c:numFmt formatCode="General" sourceLinked="1"/>
        <c:tickLblPos val="nextTo"/>
        <c:crossAx val="95156480"/>
        <c:crosses val="autoZero"/>
        <c:auto val="1"/>
        <c:lblAlgn val="ctr"/>
        <c:lblOffset val="100"/>
      </c:catAx>
      <c:valAx>
        <c:axId val="95156480"/>
        <c:scaling>
          <c:orientation val="minMax"/>
        </c:scaling>
        <c:axPos val="l"/>
        <c:majorGridlines/>
        <c:numFmt formatCode="_-* #,##0_-;\-* #,##0_-;_-* &quot;-&quot;??_-;_-@_-" sourceLinked="1"/>
        <c:tickLblPos val="nextTo"/>
        <c:crossAx val="95154944"/>
        <c:crosses val="autoZero"/>
        <c:crossBetween val="between"/>
      </c:valAx>
    </c:plotArea>
    <c:plotVisOnly val="1"/>
    <c:dispBlanksAs val="gap"/>
  </c:chart>
  <c:printSettings>
    <c:headerFooter/>
    <c:pageMargins b="0.78740157499999996" l="0.511811024" r="0.511811024" t="0.78740157499999996" header="0.31496062000000208" footer="0.31496062000000208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/>
              <a:t>Movimentação de Cargas Conteinerizadas - Via Marítima</a:t>
            </a:r>
          </a:p>
          <a:p>
            <a:pPr>
              <a:defRPr/>
            </a:pPr>
            <a:r>
              <a:rPr lang="pt-BR"/>
              <a:t>em toneladas 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v>Bahia</c:v>
          </c:tx>
          <c:cat>
            <c:strRef>
              <c:f>'2011'!$B$32:$M$32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'2011'!$B$34:$M$34</c:f>
              <c:numCache>
                <c:formatCode>_-* #,##0_-;\-* #,##0_-;_-* "-"??_-;_-@_-</c:formatCode>
                <c:ptCount val="12"/>
                <c:pt idx="0">
                  <c:v>97148</c:v>
                </c:pt>
                <c:pt idx="1">
                  <c:v>91425</c:v>
                </c:pt>
                <c:pt idx="2">
                  <c:v>93790</c:v>
                </c:pt>
                <c:pt idx="3">
                  <c:v>101499</c:v>
                </c:pt>
                <c:pt idx="4">
                  <c:v>106299</c:v>
                </c:pt>
                <c:pt idx="5">
                  <c:v>108641</c:v>
                </c:pt>
                <c:pt idx="6">
                  <c:v>110194</c:v>
                </c:pt>
                <c:pt idx="7">
                  <c:v>128301</c:v>
                </c:pt>
                <c:pt idx="8">
                  <c:v>115867</c:v>
                </c:pt>
                <c:pt idx="9">
                  <c:v>124518</c:v>
                </c:pt>
                <c:pt idx="10">
                  <c:v>145932</c:v>
                </c:pt>
                <c:pt idx="11">
                  <c:v>107250</c:v>
                </c:pt>
              </c:numCache>
            </c:numRef>
          </c:val>
        </c:ser>
        <c:ser>
          <c:idx val="1"/>
          <c:order val="1"/>
          <c:tx>
            <c:v>Outros Estados</c:v>
          </c:tx>
          <c:cat>
            <c:strRef>
              <c:f>'2011'!$B$32:$M$32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'2011'!$B$35:$M$35</c:f>
              <c:numCache>
                <c:formatCode>_-* #,##0_-;\-* #,##0_-;_-* "-"??_-;_-@_-</c:formatCode>
                <c:ptCount val="12"/>
                <c:pt idx="0">
                  <c:v>37475</c:v>
                </c:pt>
                <c:pt idx="1">
                  <c:v>39788</c:v>
                </c:pt>
                <c:pt idx="2">
                  <c:v>36830</c:v>
                </c:pt>
                <c:pt idx="3">
                  <c:v>34084</c:v>
                </c:pt>
                <c:pt idx="4">
                  <c:v>28633</c:v>
                </c:pt>
                <c:pt idx="5">
                  <c:v>28015</c:v>
                </c:pt>
                <c:pt idx="6">
                  <c:v>30796</c:v>
                </c:pt>
                <c:pt idx="7">
                  <c:v>34648</c:v>
                </c:pt>
                <c:pt idx="8">
                  <c:v>42929</c:v>
                </c:pt>
                <c:pt idx="9">
                  <c:v>45626</c:v>
                </c:pt>
                <c:pt idx="10">
                  <c:v>35982</c:v>
                </c:pt>
                <c:pt idx="11">
                  <c:v>37752</c:v>
                </c:pt>
              </c:numCache>
            </c:numRef>
          </c:val>
        </c:ser>
        <c:overlap val="100"/>
        <c:axId val="83698432"/>
        <c:axId val="83699968"/>
      </c:barChart>
      <c:catAx>
        <c:axId val="8369843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83699968"/>
        <c:crosses val="autoZero"/>
        <c:auto val="1"/>
        <c:lblAlgn val="ctr"/>
        <c:lblOffset val="100"/>
      </c:catAx>
      <c:valAx>
        <c:axId val="83699968"/>
        <c:scaling>
          <c:orientation val="minMax"/>
        </c:scaling>
        <c:axPos val="l"/>
        <c:majorGridlines/>
        <c:numFmt formatCode="_-* #,##0_-;\-* #,##0_-;_-* &quot;-&quot;??_-;_-@_-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8369843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591" footer="0.3149606200000059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Evolução do Comex Baiano - 2011 - Via Marítima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em toneladas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v>Importação</c:v>
          </c:tx>
          <c:cat>
            <c:strRef>
              <c:f>'2011'!$B$84:$M$84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'2011'!$B$86:$M$86</c:f>
              <c:numCache>
                <c:formatCode>_-* #,##0_-;\-* #,##0_-;_-* "-"??_-;_-@_-</c:formatCode>
                <c:ptCount val="12"/>
                <c:pt idx="0">
                  <c:v>372760</c:v>
                </c:pt>
                <c:pt idx="1">
                  <c:v>240630</c:v>
                </c:pt>
                <c:pt idx="2">
                  <c:v>360057</c:v>
                </c:pt>
                <c:pt idx="3">
                  <c:v>473889</c:v>
                </c:pt>
                <c:pt idx="4">
                  <c:v>534979</c:v>
                </c:pt>
                <c:pt idx="5">
                  <c:v>467289</c:v>
                </c:pt>
                <c:pt idx="6">
                  <c:v>539785</c:v>
                </c:pt>
                <c:pt idx="7">
                  <c:v>537046</c:v>
                </c:pt>
                <c:pt idx="8">
                  <c:v>504476</c:v>
                </c:pt>
                <c:pt idx="9">
                  <c:v>402488</c:v>
                </c:pt>
                <c:pt idx="10">
                  <c:v>432633</c:v>
                </c:pt>
                <c:pt idx="11">
                  <c:v>269444</c:v>
                </c:pt>
              </c:numCache>
            </c:numRef>
          </c:val>
        </c:ser>
        <c:ser>
          <c:idx val="1"/>
          <c:order val="1"/>
          <c:tx>
            <c:v>Exportação</c:v>
          </c:tx>
          <c:cat>
            <c:strRef>
              <c:f>'2011'!$B$84:$M$84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'2011'!$B$87:$M$87</c:f>
              <c:numCache>
                <c:formatCode>_-* #,##0_-;\-* #,##0_-;_-* "-"??_-;_-@_-</c:formatCode>
                <c:ptCount val="12"/>
                <c:pt idx="0">
                  <c:v>612650</c:v>
                </c:pt>
                <c:pt idx="1">
                  <c:v>720079</c:v>
                </c:pt>
                <c:pt idx="2">
                  <c:v>688923</c:v>
                </c:pt>
                <c:pt idx="3">
                  <c:v>685845</c:v>
                </c:pt>
                <c:pt idx="4">
                  <c:v>1078231</c:v>
                </c:pt>
                <c:pt idx="5">
                  <c:v>1139530</c:v>
                </c:pt>
                <c:pt idx="6">
                  <c:v>1110507</c:v>
                </c:pt>
                <c:pt idx="7">
                  <c:v>1246719</c:v>
                </c:pt>
                <c:pt idx="8">
                  <c:v>991874</c:v>
                </c:pt>
                <c:pt idx="9">
                  <c:v>897282</c:v>
                </c:pt>
                <c:pt idx="10">
                  <c:v>1028185</c:v>
                </c:pt>
                <c:pt idx="11">
                  <c:v>935171</c:v>
                </c:pt>
              </c:numCache>
            </c:numRef>
          </c:val>
        </c:ser>
        <c:marker val="1"/>
        <c:axId val="83737216"/>
        <c:axId val="103350656"/>
      </c:lineChart>
      <c:catAx>
        <c:axId val="8373721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3350656"/>
        <c:crosses val="autoZero"/>
        <c:auto val="1"/>
        <c:lblAlgn val="ctr"/>
        <c:lblOffset val="100"/>
      </c:catAx>
      <c:valAx>
        <c:axId val="103350656"/>
        <c:scaling>
          <c:orientation val="minMax"/>
        </c:scaling>
        <c:axPos val="l"/>
        <c:majorGridlines/>
        <c:numFmt formatCode="_-* #,##0_-;\-* #,##0_-;_-* &quot;-&quot;??_-;_-@_-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3737216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363" footer="0.3149606200000036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Comex Baiano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Participação da Bahia nas Exportações do Brasil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Via Marítima - em toneladas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 sz="18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</c:rich>
      </c:tx>
    </c:title>
    <c:plotArea>
      <c:layout/>
      <c:lineChart>
        <c:grouping val="standard"/>
        <c:ser>
          <c:idx val="0"/>
          <c:order val="0"/>
          <c:tx>
            <c:v>BA&gt;&gt;BR</c:v>
          </c:tx>
          <c:cat>
            <c:strRef>
              <c:f>'2011'!$B$108:$M$108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'2011'!$B$111:$M$111</c:f>
              <c:numCache>
                <c:formatCode>0.00%</c:formatCode>
                <c:ptCount val="12"/>
                <c:pt idx="0">
                  <c:v>1.7453458251834957E-2</c:v>
                </c:pt>
                <c:pt idx="1">
                  <c:v>2.0251503959184645E-2</c:v>
                </c:pt>
                <c:pt idx="2">
                  <c:v>1.7420874219013817E-2</c:v>
                </c:pt>
                <c:pt idx="3">
                  <c:v>1.7011526822761119E-2</c:v>
                </c:pt>
                <c:pt idx="4">
                  <c:v>2.4125832355883343E-2</c:v>
                </c:pt>
                <c:pt idx="5">
                  <c:v>2.6509663489212177E-2</c:v>
                </c:pt>
                <c:pt idx="6">
                  <c:v>2.4899362813514746E-2</c:v>
                </c:pt>
                <c:pt idx="7">
                  <c:v>2.3609464061264785E-2</c:v>
                </c:pt>
                <c:pt idx="8">
                  <c:v>2.1216948595516375E-2</c:v>
                </c:pt>
                <c:pt idx="9">
                  <c:v>2.0816644060919928E-2</c:v>
                </c:pt>
                <c:pt idx="10">
                  <c:v>2.2036715684951344E-2</c:v>
                </c:pt>
                <c:pt idx="11">
                  <c:v>1.8870313561253637E-2</c:v>
                </c:pt>
              </c:numCache>
            </c:numRef>
          </c:val>
        </c:ser>
        <c:marker val="1"/>
        <c:axId val="103374848"/>
        <c:axId val="103376384"/>
      </c:lineChart>
      <c:catAx>
        <c:axId val="10337484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3376384"/>
        <c:crosses val="autoZero"/>
        <c:auto val="1"/>
        <c:lblAlgn val="ctr"/>
        <c:lblOffset val="100"/>
      </c:catAx>
      <c:valAx>
        <c:axId val="103376384"/>
        <c:scaling>
          <c:orientation val="minMax"/>
        </c:scaling>
        <c:axPos val="l"/>
        <c:majorGridlines/>
        <c:numFmt formatCode="0.00%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3374848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363" footer="0.3149606200000036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Comex Baiano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Participação da Bahia nas Importações do Brasil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Via Marítima - em toneladas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v>BA &gt;&gt; BR</c:v>
          </c:tx>
          <c:cat>
            <c:strRef>
              <c:f>'2011'!$B$130:$M$130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'2011'!$B$133:$M$133</c:f>
              <c:numCache>
                <c:formatCode>0.00%</c:formatCode>
                <c:ptCount val="12"/>
                <c:pt idx="0">
                  <c:v>3.9907295510975258E-2</c:v>
                </c:pt>
                <c:pt idx="1">
                  <c:v>2.5555605824932152E-2</c:v>
                </c:pt>
                <c:pt idx="2">
                  <c:v>3.5727458128838423E-2</c:v>
                </c:pt>
                <c:pt idx="3">
                  <c:v>4.2981675087092289E-2</c:v>
                </c:pt>
                <c:pt idx="4">
                  <c:v>4.634420403130704E-2</c:v>
                </c:pt>
                <c:pt idx="5">
                  <c:v>4.2056112616914783E-2</c:v>
                </c:pt>
                <c:pt idx="6">
                  <c:v>4.9530779628611604E-2</c:v>
                </c:pt>
                <c:pt idx="7">
                  <c:v>4.1916554967830928E-2</c:v>
                </c:pt>
                <c:pt idx="8">
                  <c:v>4.153139757335475E-2</c:v>
                </c:pt>
                <c:pt idx="9">
                  <c:v>3.6819732127185478E-2</c:v>
                </c:pt>
                <c:pt idx="10">
                  <c:v>3.6745736927956622E-2</c:v>
                </c:pt>
                <c:pt idx="11">
                  <c:v>2.4935350312401235E-2</c:v>
                </c:pt>
              </c:numCache>
            </c:numRef>
          </c:val>
        </c:ser>
        <c:marker val="1"/>
        <c:axId val="103408768"/>
        <c:axId val="103410304"/>
      </c:lineChart>
      <c:catAx>
        <c:axId val="10340876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3410304"/>
        <c:crosses val="autoZero"/>
        <c:auto val="1"/>
        <c:lblAlgn val="ctr"/>
        <c:lblOffset val="100"/>
      </c:catAx>
      <c:valAx>
        <c:axId val="103410304"/>
        <c:scaling>
          <c:orientation val="minMax"/>
        </c:scaling>
        <c:axPos val="l"/>
        <c:majorGridlines/>
        <c:numFmt formatCode="0.00%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3408768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363" footer="0.3149606200000036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4"/>
  <c:chart>
    <c:title>
      <c:tx>
        <c:rich>
          <a:bodyPr/>
          <a:lstStyle/>
          <a:p>
            <a:pPr>
              <a:defRPr/>
            </a:pPr>
            <a:r>
              <a:rPr lang="pt-BR"/>
              <a:t>Comex Baiano - Cargas Conteinerizadas - Via Marítima</a:t>
            </a:r>
          </a:p>
          <a:p>
            <a:pPr>
              <a:defRPr/>
            </a:pPr>
            <a:r>
              <a:rPr lang="pt-BR"/>
              <a:t>em toneladas</a:t>
            </a:r>
          </a:p>
        </c:rich>
      </c:tx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v>Bahia</c:v>
          </c:tx>
          <c:cat>
            <c:numRef>
              <c:f>'2011'!$B$60:$N$60</c:f>
              <c:numCache>
                <c:formatCode>mmm/yy</c:formatCode>
                <c:ptCount val="13"/>
                <c:pt idx="0">
                  <c:v>40513</c:v>
                </c:pt>
                <c:pt idx="1">
                  <c:v>40544</c:v>
                </c:pt>
                <c:pt idx="2">
                  <c:v>40575</c:v>
                </c:pt>
                <c:pt idx="3">
                  <c:v>40603</c:v>
                </c:pt>
                <c:pt idx="4">
                  <c:v>40634</c:v>
                </c:pt>
                <c:pt idx="5">
                  <c:v>40664</c:v>
                </c:pt>
                <c:pt idx="6">
                  <c:v>40695</c:v>
                </c:pt>
                <c:pt idx="7">
                  <c:v>40725</c:v>
                </c:pt>
                <c:pt idx="8">
                  <c:v>40756</c:v>
                </c:pt>
                <c:pt idx="9">
                  <c:v>40787</c:v>
                </c:pt>
                <c:pt idx="10">
                  <c:v>40817</c:v>
                </c:pt>
                <c:pt idx="11">
                  <c:v>40848</c:v>
                </c:pt>
                <c:pt idx="12">
                  <c:v>40878</c:v>
                </c:pt>
              </c:numCache>
            </c:numRef>
          </c:cat>
          <c:val>
            <c:numRef>
              <c:f>'2011'!$B$61:$N$61</c:f>
              <c:numCache>
                <c:formatCode>_-* #,##0_-;\-* #,##0_-;_-* "-"??_-;_-@_-</c:formatCode>
                <c:ptCount val="13"/>
                <c:pt idx="0">
                  <c:v>114453</c:v>
                </c:pt>
                <c:pt idx="1">
                  <c:v>97148</c:v>
                </c:pt>
                <c:pt idx="2">
                  <c:v>91425</c:v>
                </c:pt>
                <c:pt idx="3">
                  <c:v>93790</c:v>
                </c:pt>
                <c:pt idx="4">
                  <c:v>101499</c:v>
                </c:pt>
                <c:pt idx="5">
                  <c:v>106299</c:v>
                </c:pt>
                <c:pt idx="6">
                  <c:v>108641</c:v>
                </c:pt>
                <c:pt idx="7">
                  <c:v>110194</c:v>
                </c:pt>
                <c:pt idx="8">
                  <c:v>128301</c:v>
                </c:pt>
                <c:pt idx="9">
                  <c:v>115867</c:v>
                </c:pt>
                <c:pt idx="10">
                  <c:v>124518</c:v>
                </c:pt>
                <c:pt idx="11">
                  <c:v>145932</c:v>
                </c:pt>
                <c:pt idx="12">
                  <c:v>107250</c:v>
                </c:pt>
              </c:numCache>
            </c:numRef>
          </c:val>
        </c:ser>
        <c:ser>
          <c:idx val="1"/>
          <c:order val="1"/>
          <c:tx>
            <c:v>Outros estados</c:v>
          </c:tx>
          <c:cat>
            <c:numRef>
              <c:f>'2011'!$B$60:$N$60</c:f>
              <c:numCache>
                <c:formatCode>mmm/yy</c:formatCode>
                <c:ptCount val="13"/>
                <c:pt idx="0">
                  <c:v>40513</c:v>
                </c:pt>
                <c:pt idx="1">
                  <c:v>40544</c:v>
                </c:pt>
                <c:pt idx="2">
                  <c:v>40575</c:v>
                </c:pt>
                <c:pt idx="3">
                  <c:v>40603</c:v>
                </c:pt>
                <c:pt idx="4">
                  <c:v>40634</c:v>
                </c:pt>
                <c:pt idx="5">
                  <c:v>40664</c:v>
                </c:pt>
                <c:pt idx="6">
                  <c:v>40695</c:v>
                </c:pt>
                <c:pt idx="7">
                  <c:v>40725</c:v>
                </c:pt>
                <c:pt idx="8">
                  <c:v>40756</c:v>
                </c:pt>
                <c:pt idx="9">
                  <c:v>40787</c:v>
                </c:pt>
                <c:pt idx="10">
                  <c:v>40817</c:v>
                </c:pt>
                <c:pt idx="11">
                  <c:v>40848</c:v>
                </c:pt>
                <c:pt idx="12">
                  <c:v>40878</c:v>
                </c:pt>
              </c:numCache>
            </c:numRef>
          </c:cat>
          <c:val>
            <c:numRef>
              <c:f>'2011'!$B$62:$N$62</c:f>
              <c:numCache>
                <c:formatCode>_-* #,##0_-;\-* #,##0_-;_-* "-"??_-;_-@_-</c:formatCode>
                <c:ptCount val="13"/>
                <c:pt idx="0">
                  <c:v>36446</c:v>
                </c:pt>
                <c:pt idx="1">
                  <c:v>37475</c:v>
                </c:pt>
                <c:pt idx="2">
                  <c:v>39788</c:v>
                </c:pt>
                <c:pt idx="3">
                  <c:v>36830</c:v>
                </c:pt>
                <c:pt idx="4">
                  <c:v>34084</c:v>
                </c:pt>
                <c:pt idx="5">
                  <c:v>28633</c:v>
                </c:pt>
                <c:pt idx="6">
                  <c:v>28015</c:v>
                </c:pt>
                <c:pt idx="7">
                  <c:v>30796</c:v>
                </c:pt>
                <c:pt idx="8">
                  <c:v>34648</c:v>
                </c:pt>
                <c:pt idx="9">
                  <c:v>42929</c:v>
                </c:pt>
                <c:pt idx="10">
                  <c:v>45626</c:v>
                </c:pt>
                <c:pt idx="11">
                  <c:v>35982</c:v>
                </c:pt>
                <c:pt idx="12">
                  <c:v>37752</c:v>
                </c:pt>
              </c:numCache>
            </c:numRef>
          </c:val>
        </c:ser>
        <c:gapWidth val="55"/>
        <c:gapDepth val="55"/>
        <c:shape val="box"/>
        <c:axId val="103368960"/>
        <c:axId val="103563264"/>
        <c:axId val="0"/>
      </c:bar3DChart>
      <c:dateAx>
        <c:axId val="103368960"/>
        <c:scaling>
          <c:orientation val="minMax"/>
        </c:scaling>
        <c:axPos val="b"/>
        <c:numFmt formatCode="mmm/yy" sourceLinked="1"/>
        <c:majorTickMark val="none"/>
        <c:tickLblPos val="nextTo"/>
        <c:crossAx val="103563264"/>
        <c:crosses val="autoZero"/>
        <c:auto val="1"/>
        <c:lblOffset val="100"/>
        <c:baseTimeUnit val="months"/>
      </c:dateAx>
      <c:valAx>
        <c:axId val="103563264"/>
        <c:scaling>
          <c:orientation val="minMax"/>
        </c:scaling>
        <c:axPos val="l"/>
        <c:majorGridlines/>
        <c:numFmt formatCode="_-* #,##0_-;\-* #,##0_-;_-* &quot;-&quot;??_-;_-@_-" sourceLinked="1"/>
        <c:majorTickMark val="none"/>
        <c:tickLblPos val="nextTo"/>
        <c:crossAx val="103368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719672007293471"/>
          <c:y val="0.48485928842228082"/>
          <c:w val="8.3150113567624764E-2"/>
          <c:h val="0.16743438320210194"/>
        </c:manualLayout>
      </c:layout>
    </c:legend>
    <c:plotVisOnly val="1"/>
    <c:dispBlanksAs val="gap"/>
  </c:chart>
  <c:printSettings>
    <c:headerFooter/>
    <c:pageMargins b="0.78740157499999996" l="0.511811024" r="0.511811024" t="0.78740157499999996" header="0.31496062000000341" footer="0.3149606200000034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/>
              <a:t>Movimentação de Cargas Gerais - Via Marítima </a:t>
            </a:r>
          </a:p>
          <a:p>
            <a:pPr>
              <a:defRPr/>
            </a:pPr>
            <a:r>
              <a:rPr lang="pt-BR"/>
              <a:t>em toneladas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v>Bahia</c:v>
          </c:tx>
          <c:cat>
            <c:strRef>
              <c:f>'2012'!$B$5:$M$5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'2012'!$B$7:$M$7</c:f>
              <c:numCache>
                <c:formatCode>_-* #,##0_-;\-* #,##0_-;_-* "-"??_-;_-@_-</c:formatCode>
                <c:ptCount val="12"/>
                <c:pt idx="0">
                  <c:v>949151</c:v>
                </c:pt>
                <c:pt idx="1">
                  <c:v>960743</c:v>
                </c:pt>
                <c:pt idx="2">
                  <c:v>946781</c:v>
                </c:pt>
                <c:pt idx="3">
                  <c:v>991216</c:v>
                </c:pt>
                <c:pt idx="4">
                  <c:v>1231169</c:v>
                </c:pt>
                <c:pt idx="5">
                  <c:v>1273762.68</c:v>
                </c:pt>
                <c:pt idx="6">
                  <c:v>1522352.291</c:v>
                </c:pt>
                <c:pt idx="7">
                  <c:v>1111054.1979999996</c:v>
                </c:pt>
                <c:pt idx="8">
                  <c:v>884655.18499999994</c:v>
                </c:pt>
                <c:pt idx="9">
                  <c:v>1011652.7779999999</c:v>
                </c:pt>
                <c:pt idx="10">
                  <c:v>1012335.7079999999</c:v>
                </c:pt>
                <c:pt idx="11">
                  <c:v>917581.902</c:v>
                </c:pt>
              </c:numCache>
            </c:numRef>
          </c:val>
        </c:ser>
        <c:ser>
          <c:idx val="1"/>
          <c:order val="1"/>
          <c:tx>
            <c:v>Outros Estados</c:v>
          </c:tx>
          <c:cat>
            <c:strRef>
              <c:f>'2012'!$B$5:$M$5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'2012'!$B$8:$M$8</c:f>
              <c:numCache>
                <c:formatCode>_-* #,##0_-;\-* #,##0_-;_-* "-"??_-;_-@_-</c:formatCode>
                <c:ptCount val="12"/>
                <c:pt idx="0">
                  <c:v>285147</c:v>
                </c:pt>
                <c:pt idx="1">
                  <c:v>209138</c:v>
                </c:pt>
                <c:pt idx="2">
                  <c:v>289663</c:v>
                </c:pt>
                <c:pt idx="3">
                  <c:v>265007</c:v>
                </c:pt>
                <c:pt idx="4">
                  <c:v>278043</c:v>
                </c:pt>
                <c:pt idx="5">
                  <c:v>344697.94900000002</c:v>
                </c:pt>
                <c:pt idx="6">
                  <c:v>340234.91800000001</c:v>
                </c:pt>
                <c:pt idx="7">
                  <c:v>402607.18</c:v>
                </c:pt>
                <c:pt idx="8">
                  <c:v>345797.52799999993</c:v>
                </c:pt>
                <c:pt idx="9">
                  <c:v>384084.79399999982</c:v>
                </c:pt>
                <c:pt idx="10">
                  <c:v>283398.15100000001</c:v>
                </c:pt>
                <c:pt idx="11">
                  <c:v>370536.28900000005</c:v>
                </c:pt>
              </c:numCache>
            </c:numRef>
          </c:val>
        </c:ser>
        <c:overlap val="100"/>
        <c:axId val="104736640"/>
        <c:axId val="104738176"/>
      </c:barChart>
      <c:catAx>
        <c:axId val="10473664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04738176"/>
        <c:crosses val="autoZero"/>
        <c:auto val="1"/>
        <c:lblAlgn val="ctr"/>
        <c:lblOffset val="100"/>
      </c:catAx>
      <c:valAx>
        <c:axId val="104738176"/>
        <c:scaling>
          <c:orientation val="minMax"/>
        </c:scaling>
        <c:axPos val="l"/>
        <c:majorGridlines/>
        <c:numFmt formatCode="_-* #,##0_-;\-* #,##0_-;_-* &quot;-&quot;??_-;_-@_-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0473664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602" footer="0.314960620000006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/>
              <a:t>Movimentação de Cargas Conteinerizadas - Via Marítima</a:t>
            </a:r>
          </a:p>
          <a:p>
            <a:pPr>
              <a:defRPr/>
            </a:pPr>
            <a:r>
              <a:rPr lang="pt-BR"/>
              <a:t>em toneladas 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v>Bahia</c:v>
          </c:tx>
          <c:cat>
            <c:strRef>
              <c:f>'2012'!$B$32:$M$32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'2012'!$B$34:$M$34</c:f>
              <c:numCache>
                <c:formatCode>_-* #,##0_-;\-* #,##0_-;_-* "-"??_-;_-@_-</c:formatCode>
                <c:ptCount val="12"/>
                <c:pt idx="0">
                  <c:v>105558</c:v>
                </c:pt>
                <c:pt idx="1">
                  <c:v>108705</c:v>
                </c:pt>
                <c:pt idx="2">
                  <c:v>145232</c:v>
                </c:pt>
                <c:pt idx="3">
                  <c:v>104171</c:v>
                </c:pt>
                <c:pt idx="4">
                  <c:v>86630</c:v>
                </c:pt>
                <c:pt idx="5">
                  <c:v>113066.80299999996</c:v>
                </c:pt>
                <c:pt idx="6">
                  <c:v>102522.274</c:v>
                </c:pt>
                <c:pt idx="7">
                  <c:v>128170.75949999999</c:v>
                </c:pt>
                <c:pt idx="8">
                  <c:v>122139.41999999993</c:v>
                </c:pt>
                <c:pt idx="9">
                  <c:v>133105.5659999999</c:v>
                </c:pt>
                <c:pt idx="10">
                  <c:v>112299.47200000001</c:v>
                </c:pt>
                <c:pt idx="11">
                  <c:v>104057.2285</c:v>
                </c:pt>
              </c:numCache>
            </c:numRef>
          </c:val>
        </c:ser>
        <c:ser>
          <c:idx val="1"/>
          <c:order val="1"/>
          <c:tx>
            <c:v>Outros Estados</c:v>
          </c:tx>
          <c:cat>
            <c:strRef>
              <c:f>'2012'!$B$32:$M$32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'2012'!$B$35:$M$35</c:f>
              <c:numCache>
                <c:formatCode>_-* #,##0_-;\-* #,##0_-;_-* "-"??_-;_-@_-</c:formatCode>
                <c:ptCount val="12"/>
                <c:pt idx="0">
                  <c:v>32524</c:v>
                </c:pt>
                <c:pt idx="1">
                  <c:v>26844</c:v>
                </c:pt>
                <c:pt idx="2">
                  <c:v>46540</c:v>
                </c:pt>
                <c:pt idx="3">
                  <c:v>51626</c:v>
                </c:pt>
                <c:pt idx="4">
                  <c:v>59384</c:v>
                </c:pt>
                <c:pt idx="5">
                  <c:v>49780.568000000021</c:v>
                </c:pt>
                <c:pt idx="6">
                  <c:v>68161.437999999951</c:v>
                </c:pt>
                <c:pt idx="7">
                  <c:v>80507.827000000034</c:v>
                </c:pt>
                <c:pt idx="8">
                  <c:v>57876.630999999834</c:v>
                </c:pt>
                <c:pt idx="9">
                  <c:v>88356.20599999986</c:v>
                </c:pt>
                <c:pt idx="10">
                  <c:v>55389.785999999993</c:v>
                </c:pt>
                <c:pt idx="11">
                  <c:v>35831.61000000003</c:v>
                </c:pt>
              </c:numCache>
            </c:numRef>
          </c:val>
        </c:ser>
        <c:overlap val="100"/>
        <c:axId val="104771584"/>
        <c:axId val="104773120"/>
      </c:barChart>
      <c:catAx>
        <c:axId val="10477158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04773120"/>
        <c:crosses val="autoZero"/>
        <c:auto val="1"/>
        <c:lblAlgn val="ctr"/>
        <c:lblOffset val="100"/>
      </c:catAx>
      <c:valAx>
        <c:axId val="104773120"/>
        <c:scaling>
          <c:orientation val="minMax"/>
        </c:scaling>
        <c:axPos val="l"/>
        <c:majorGridlines/>
        <c:numFmt formatCode="_-* #,##0_-;\-* #,##0_-;_-* &quot;-&quot;??_-;_-@_-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0477158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602" footer="0.314960620000006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Evolução do Comex Baiano - 2012 - Via Marítima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em toneladas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v>Importação</c:v>
          </c:tx>
          <c:cat>
            <c:strRef>
              <c:f>'2012'!$B$83:$M$83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'2012'!$B$85:$M$85</c:f>
              <c:numCache>
                <c:formatCode>_-* #,##0_-;\-* #,##0_-;_-* "-"??_-;_-@_-</c:formatCode>
                <c:ptCount val="12"/>
                <c:pt idx="0">
                  <c:v>415827</c:v>
                </c:pt>
                <c:pt idx="1">
                  <c:v>343456</c:v>
                </c:pt>
                <c:pt idx="2">
                  <c:v>466787</c:v>
                </c:pt>
                <c:pt idx="3">
                  <c:v>492714</c:v>
                </c:pt>
                <c:pt idx="4">
                  <c:v>490175</c:v>
                </c:pt>
                <c:pt idx="5">
                  <c:v>512497.41400000011</c:v>
                </c:pt>
                <c:pt idx="6">
                  <c:v>388949.28399999993</c:v>
                </c:pt>
                <c:pt idx="7">
                  <c:v>379652.66599999997</c:v>
                </c:pt>
                <c:pt idx="8">
                  <c:v>307780.19299999974</c:v>
                </c:pt>
                <c:pt idx="9">
                  <c:v>475070.71199999982</c:v>
                </c:pt>
                <c:pt idx="10">
                  <c:v>412638.02899999998</c:v>
                </c:pt>
                <c:pt idx="11">
                  <c:v>377069.50399999996</c:v>
                </c:pt>
              </c:numCache>
            </c:numRef>
          </c:val>
        </c:ser>
        <c:ser>
          <c:idx val="1"/>
          <c:order val="1"/>
          <c:tx>
            <c:v>Exportação</c:v>
          </c:tx>
          <c:cat>
            <c:strRef>
              <c:f>'2012'!$B$83:$M$83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'2012'!$B$86:$M$86</c:f>
              <c:numCache>
                <c:formatCode>_-* #,##0_-;\-* #,##0_-;_-* "-"??_-;_-@_-</c:formatCode>
                <c:ptCount val="12"/>
                <c:pt idx="0">
                  <c:v>818470</c:v>
                </c:pt>
                <c:pt idx="1">
                  <c:v>826605</c:v>
                </c:pt>
                <c:pt idx="2">
                  <c:v>769657</c:v>
                </c:pt>
                <c:pt idx="3">
                  <c:v>763509</c:v>
                </c:pt>
                <c:pt idx="4">
                  <c:v>1019037</c:v>
                </c:pt>
                <c:pt idx="5">
                  <c:v>1105963.2150000001</c:v>
                </c:pt>
                <c:pt idx="6">
                  <c:v>1473637.9250000003</c:v>
                </c:pt>
                <c:pt idx="7">
                  <c:v>1134008.7119999998</c:v>
                </c:pt>
                <c:pt idx="8">
                  <c:v>922672.52000000014</c:v>
                </c:pt>
                <c:pt idx="9">
                  <c:v>920666.86</c:v>
                </c:pt>
                <c:pt idx="10">
                  <c:v>883095.82999999984</c:v>
                </c:pt>
                <c:pt idx="11">
                  <c:v>911048.68700000015</c:v>
                </c:pt>
              </c:numCache>
            </c:numRef>
          </c:val>
        </c:ser>
        <c:marker val="1"/>
        <c:axId val="104830848"/>
        <c:axId val="104832384"/>
      </c:lineChart>
      <c:catAx>
        <c:axId val="10483084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4832384"/>
        <c:crosses val="autoZero"/>
        <c:auto val="1"/>
        <c:lblAlgn val="ctr"/>
        <c:lblOffset val="100"/>
      </c:catAx>
      <c:valAx>
        <c:axId val="104832384"/>
        <c:scaling>
          <c:orientation val="minMax"/>
        </c:scaling>
        <c:axPos val="l"/>
        <c:majorGridlines/>
        <c:numFmt formatCode="_-* #,##0_-;\-* #,##0_-;_-* &quot;-&quot;??_-;_-@_-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4830848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385" footer="0.3149606200000038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Participação da Bahia nas Exportações do Brasil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Via Marítima - em toneladas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 sz="18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</c:rich>
      </c:tx>
    </c:title>
    <c:plotArea>
      <c:layout>
        <c:manualLayout>
          <c:layoutTarget val="inner"/>
          <c:xMode val="edge"/>
          <c:yMode val="edge"/>
          <c:x val="4.1151296765870267E-2"/>
          <c:y val="0.26702573636628757"/>
          <c:w val="0.88027654093314966"/>
          <c:h val="0.58259988334791457"/>
        </c:manualLayout>
      </c:layout>
      <c:lineChart>
        <c:grouping val="standard"/>
        <c:ser>
          <c:idx val="0"/>
          <c:order val="0"/>
          <c:tx>
            <c:v>BA&gt;&gt;BR</c:v>
          </c:tx>
          <c:cat>
            <c:strRef>
              <c:f>'2012'!$B$107:$M$107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'2012'!$B$110:$M$110</c:f>
              <c:numCache>
                <c:formatCode>0.00%</c:formatCode>
                <c:ptCount val="12"/>
                <c:pt idx="0">
                  <c:v>2.6428163371413561E-2</c:v>
                </c:pt>
                <c:pt idx="1">
                  <c:v>2.2287338819357155E-2</c:v>
                </c:pt>
                <c:pt idx="2">
                  <c:v>1.7508856958266414E-2</c:v>
                </c:pt>
                <c:pt idx="3">
                  <c:v>1.8735015127540309E-2</c:v>
                </c:pt>
                <c:pt idx="4">
                  <c:v>2.1857517333547242E-2</c:v>
                </c:pt>
                <c:pt idx="5">
                  <c:v>2.6889526507551741E-2</c:v>
                </c:pt>
                <c:pt idx="6">
                  <c:v>3.2506755739358698E-2</c:v>
                </c:pt>
                <c:pt idx="7">
                  <c:v>2.4574405394040402E-2</c:v>
                </c:pt>
                <c:pt idx="8">
                  <c:v>2.0543805807780615E-2</c:v>
                </c:pt>
                <c:pt idx="9">
                  <c:v>1.8096679492424335E-2</c:v>
                </c:pt>
                <c:pt idx="10">
                  <c:v>1.7931223450581148E-2</c:v>
                </c:pt>
                <c:pt idx="11">
                  <c:v>1.8628531116672866E-2</c:v>
                </c:pt>
              </c:numCache>
            </c:numRef>
          </c:val>
        </c:ser>
        <c:marker val="1"/>
        <c:axId val="104852480"/>
        <c:axId val="104928000"/>
      </c:lineChart>
      <c:catAx>
        <c:axId val="10485248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4928000"/>
        <c:crosses val="autoZero"/>
        <c:auto val="1"/>
        <c:lblAlgn val="ctr"/>
        <c:lblOffset val="100"/>
      </c:catAx>
      <c:valAx>
        <c:axId val="104928000"/>
        <c:scaling>
          <c:orientation val="minMax"/>
          <c:max val="0.05"/>
          <c:min val="1.0000000000000005E-2"/>
        </c:scaling>
        <c:axPos val="l"/>
        <c:majorGridlines/>
        <c:numFmt formatCode="0.00%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4852480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385" footer="0.3149606200000038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Participação da Bahia nas Importações do Brasil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Via Marítima - em toneladas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v>BA &gt;&gt; BR</c:v>
          </c:tx>
          <c:cat>
            <c:strRef>
              <c:f>'2012'!$B$129:$M$129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'2012'!$B$132:$M$132</c:f>
              <c:numCache>
                <c:formatCode>0.00%</c:formatCode>
                <c:ptCount val="12"/>
                <c:pt idx="0">
                  <c:v>4.1847537596065978E-2</c:v>
                </c:pt>
                <c:pt idx="1">
                  <c:v>4.226706431319998E-2</c:v>
                </c:pt>
                <c:pt idx="2">
                  <c:v>4.8278461367236895E-2</c:v>
                </c:pt>
                <c:pt idx="3">
                  <c:v>4.849855339747209E-2</c:v>
                </c:pt>
                <c:pt idx="4">
                  <c:v>4.5045850783170902E-2</c:v>
                </c:pt>
                <c:pt idx="5">
                  <c:v>4.6899084567317451E-2</c:v>
                </c:pt>
                <c:pt idx="6">
                  <c:v>3.4292546707184381E-2</c:v>
                </c:pt>
                <c:pt idx="7">
                  <c:v>3.4744649311451194E-2</c:v>
                </c:pt>
                <c:pt idx="8">
                  <c:v>3.0075653222775479E-2</c:v>
                </c:pt>
                <c:pt idx="9">
                  <c:v>4.4469315489391495E-2</c:v>
                </c:pt>
                <c:pt idx="10">
                  <c:v>3.1556319786456503E-2</c:v>
                </c:pt>
                <c:pt idx="11">
                  <c:v>3.4810477697445878E-2</c:v>
                </c:pt>
              </c:numCache>
            </c:numRef>
          </c:val>
        </c:ser>
        <c:marker val="1"/>
        <c:axId val="104968576"/>
        <c:axId val="104970112"/>
      </c:lineChart>
      <c:catAx>
        <c:axId val="1049685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4970112"/>
        <c:crosses val="autoZero"/>
        <c:auto val="1"/>
        <c:lblAlgn val="ctr"/>
        <c:lblOffset val="100"/>
      </c:catAx>
      <c:valAx>
        <c:axId val="104970112"/>
        <c:scaling>
          <c:orientation val="minMax"/>
          <c:max val="0.05"/>
          <c:min val="1.0000000000000005E-2"/>
        </c:scaling>
        <c:axPos val="l"/>
        <c:majorGridlines/>
        <c:numFmt formatCode="0.00%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4968576"/>
        <c:crosses val="autoZero"/>
        <c:crossBetween val="between"/>
        <c:majorUnit val="1.0000000000000005E-2"/>
        <c:minorUnit val="2.0000000000000052E-3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385" footer="0.314960620000003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lineChart>
        <c:grouping val="standard"/>
        <c:ser>
          <c:idx val="0"/>
          <c:order val="0"/>
          <c:tx>
            <c:strRef>
              <c:f>'Total de Cargas (anual)'!$A$26</c:f>
              <c:strCache>
                <c:ptCount val="1"/>
                <c:pt idx="0">
                  <c:v>BA/BR</c:v>
                </c:pt>
              </c:strCache>
            </c:strRef>
          </c:tx>
          <c:cat>
            <c:numRef>
              <c:f>'Total de Cargas (anual)'!$B$25:$G$25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'Total de Cargas (anual)'!$B$26:$G$26</c:f>
              <c:numCache>
                <c:formatCode>0.00%</c:formatCode>
                <c:ptCount val="6"/>
                <c:pt idx="0">
                  <c:v>2.5863176964261877E-2</c:v>
                </c:pt>
                <c:pt idx="1">
                  <c:v>2.610011458706455E-2</c:v>
                </c:pt>
                <c:pt idx="2">
                  <c:v>2.578612970818954E-2</c:v>
                </c:pt>
                <c:pt idx="3">
                  <c:v>2.4895324501204168E-2</c:v>
                </c:pt>
                <c:pt idx="4">
                  <c:v>2.5483256936469457E-2</c:v>
                </c:pt>
                <c:pt idx="5">
                  <c:v>2.3280205165239813E-2</c:v>
                </c:pt>
              </c:numCache>
            </c:numRef>
          </c:val>
        </c:ser>
        <c:marker val="1"/>
        <c:axId val="95384704"/>
        <c:axId val="95386240"/>
      </c:lineChart>
      <c:catAx>
        <c:axId val="95384704"/>
        <c:scaling>
          <c:orientation val="minMax"/>
        </c:scaling>
        <c:axPos val="b"/>
        <c:numFmt formatCode="General" sourceLinked="1"/>
        <c:tickLblPos val="nextTo"/>
        <c:crossAx val="95386240"/>
        <c:crosses val="autoZero"/>
        <c:auto val="1"/>
        <c:lblAlgn val="ctr"/>
        <c:lblOffset val="100"/>
      </c:catAx>
      <c:valAx>
        <c:axId val="95386240"/>
        <c:scaling>
          <c:orientation val="minMax"/>
        </c:scaling>
        <c:axPos val="l"/>
        <c:majorGridlines/>
        <c:numFmt formatCode="0.00%" sourceLinked="1"/>
        <c:tickLblPos val="nextTo"/>
        <c:crossAx val="9538470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208" footer="0.31496062000000208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 sz="1800"/>
              <a:t>Comércio</a:t>
            </a:r>
            <a:r>
              <a:rPr lang="pt-BR" sz="1800" baseline="0"/>
              <a:t> Exterior Baiano</a:t>
            </a:r>
          </a:p>
          <a:p>
            <a:pPr>
              <a:defRPr/>
            </a:pPr>
            <a:r>
              <a:rPr lang="pt-BR" sz="1200" b="0" baseline="0"/>
              <a:t>Cargas conteinerizadas - em toneladas</a:t>
            </a:r>
            <a:endParaRPr lang="pt-BR" sz="1200" b="0"/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v>Bahia</c:v>
          </c:tx>
          <c:cat>
            <c:numRef>
              <c:f>'2012'!$B$60:$N$60</c:f>
              <c:numCache>
                <c:formatCode>mmm/yy</c:formatCode>
                <c:ptCount val="13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</c:numCache>
            </c:numRef>
          </c:cat>
          <c:val>
            <c:numRef>
              <c:f>'2012'!$B$61:$N$61</c:f>
              <c:numCache>
                <c:formatCode>_-* #,##0_-;\-* #,##0_-;_-* "-"??_-;_-@_-</c:formatCode>
                <c:ptCount val="13"/>
                <c:pt idx="0">
                  <c:v>107250</c:v>
                </c:pt>
                <c:pt idx="1">
                  <c:v>105558</c:v>
                </c:pt>
                <c:pt idx="2">
                  <c:v>108705</c:v>
                </c:pt>
                <c:pt idx="3">
                  <c:v>145232</c:v>
                </c:pt>
                <c:pt idx="4">
                  <c:v>104171</c:v>
                </c:pt>
                <c:pt idx="5">
                  <c:v>86630</c:v>
                </c:pt>
                <c:pt idx="6">
                  <c:v>113066.80299999996</c:v>
                </c:pt>
                <c:pt idx="7">
                  <c:v>102522.274</c:v>
                </c:pt>
                <c:pt idx="8">
                  <c:v>128170.75949999999</c:v>
                </c:pt>
                <c:pt idx="9">
                  <c:v>122139.41999999993</c:v>
                </c:pt>
                <c:pt idx="10">
                  <c:v>133105.5659999999</c:v>
                </c:pt>
                <c:pt idx="11">
                  <c:v>112299.47200000001</c:v>
                </c:pt>
                <c:pt idx="12">
                  <c:v>104057.2285</c:v>
                </c:pt>
              </c:numCache>
            </c:numRef>
          </c:val>
        </c:ser>
        <c:ser>
          <c:idx val="1"/>
          <c:order val="1"/>
          <c:tx>
            <c:v>Outros Estados</c:v>
          </c:tx>
          <c:cat>
            <c:numRef>
              <c:f>'2012'!$B$60:$N$60</c:f>
              <c:numCache>
                <c:formatCode>mmm/yy</c:formatCode>
                <c:ptCount val="13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</c:numCache>
            </c:numRef>
          </c:cat>
          <c:val>
            <c:numRef>
              <c:f>'2012'!$B$62:$N$62</c:f>
              <c:numCache>
                <c:formatCode>_-* #,##0_-;\-* #,##0_-;_-* "-"??_-;_-@_-</c:formatCode>
                <c:ptCount val="13"/>
                <c:pt idx="0">
                  <c:v>37752</c:v>
                </c:pt>
                <c:pt idx="1">
                  <c:v>32524</c:v>
                </c:pt>
                <c:pt idx="2">
                  <c:v>26844</c:v>
                </c:pt>
                <c:pt idx="3">
                  <c:v>46540</c:v>
                </c:pt>
                <c:pt idx="4">
                  <c:v>51626</c:v>
                </c:pt>
                <c:pt idx="5">
                  <c:v>59384</c:v>
                </c:pt>
                <c:pt idx="6">
                  <c:v>49780.568000000021</c:v>
                </c:pt>
                <c:pt idx="7">
                  <c:v>68161.437999999951</c:v>
                </c:pt>
                <c:pt idx="8">
                  <c:v>80507.827000000034</c:v>
                </c:pt>
                <c:pt idx="9">
                  <c:v>57876.630999999834</c:v>
                </c:pt>
                <c:pt idx="10">
                  <c:v>88356.20599999986</c:v>
                </c:pt>
                <c:pt idx="11">
                  <c:v>55389.785999999993</c:v>
                </c:pt>
                <c:pt idx="12">
                  <c:v>35831.61000000003</c:v>
                </c:pt>
              </c:numCache>
            </c:numRef>
          </c:val>
        </c:ser>
        <c:gapWidth val="75"/>
        <c:overlap val="100"/>
        <c:axId val="104858752"/>
        <c:axId val="104860288"/>
      </c:barChart>
      <c:dateAx>
        <c:axId val="104858752"/>
        <c:scaling>
          <c:orientation val="minMax"/>
        </c:scaling>
        <c:axPos val="b"/>
        <c:numFmt formatCode="mmm/yy" sourceLinked="1"/>
        <c:majorTickMark val="none"/>
        <c:tickLblPos val="nextTo"/>
        <c:crossAx val="104860288"/>
        <c:crosses val="autoZero"/>
        <c:auto val="1"/>
        <c:lblOffset val="100"/>
        <c:baseTimeUnit val="months"/>
      </c:dateAx>
      <c:valAx>
        <c:axId val="104860288"/>
        <c:scaling>
          <c:orientation val="minMax"/>
        </c:scaling>
        <c:axPos val="l"/>
        <c:majorGridlines/>
        <c:numFmt formatCode="_-* #,##0_-;\-* #,##0_-;_-* &quot;-&quot;??_-;_-@_-" sourceLinked="1"/>
        <c:majorTickMark val="none"/>
        <c:tickLblPos val="nextTo"/>
        <c:spPr>
          <a:ln w="9525">
            <a:noFill/>
          </a:ln>
        </c:spPr>
        <c:crossAx val="10485875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213" footer="0.3149606200000021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/>
              <a:t>Movimentação de Cargas Gerais - Via Marítima </a:t>
            </a:r>
          </a:p>
          <a:p>
            <a:pPr>
              <a:defRPr/>
            </a:pPr>
            <a:r>
              <a:rPr lang="pt-BR"/>
              <a:t>em toneladas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'2013'!$A$7</c:f>
              <c:strCache>
                <c:ptCount val="1"/>
                <c:pt idx="0">
                  <c:v>Da Bahia</c:v>
                </c:pt>
              </c:strCache>
            </c:strRef>
          </c:tx>
          <c:cat>
            <c:strRef>
              <c:f>'2013'!$B$5:$M$5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'2013'!$B$7:$M$7</c:f>
              <c:numCache>
                <c:formatCode>_-* #,##0_-;\-* #,##0_-;_-* "-"??_-;_-@_-</c:formatCode>
                <c:ptCount val="12"/>
                <c:pt idx="0">
                  <c:v>762790.15999999992</c:v>
                </c:pt>
                <c:pt idx="1">
                  <c:v>506905.01199999993</c:v>
                </c:pt>
                <c:pt idx="2">
                  <c:v>927339.64999999991</c:v>
                </c:pt>
                <c:pt idx="3">
                  <c:v>1132902.5179999999</c:v>
                </c:pt>
                <c:pt idx="4">
                  <c:v>1288400.8230000001</c:v>
                </c:pt>
                <c:pt idx="5">
                  <c:v>1084478.6869999999</c:v>
                </c:pt>
                <c:pt idx="6">
                  <c:v>1384294.358</c:v>
                </c:pt>
                <c:pt idx="7">
                  <c:v>1132604.162</c:v>
                </c:pt>
                <c:pt idx="8">
                  <c:v>1375780.7690000001</c:v>
                </c:pt>
                <c:pt idx="9">
                  <c:v>1009640.0430000001</c:v>
                </c:pt>
                <c:pt idx="10">
                  <c:v>1090640</c:v>
                </c:pt>
                <c:pt idx="11" formatCode="#,##0">
                  <c:v>707456</c:v>
                </c:pt>
              </c:numCache>
            </c:numRef>
          </c:val>
        </c:ser>
        <c:ser>
          <c:idx val="1"/>
          <c:order val="1"/>
          <c:tx>
            <c:strRef>
              <c:f>'2013'!$A$8</c:f>
              <c:strCache>
                <c:ptCount val="1"/>
                <c:pt idx="0">
                  <c:v>De Fora da Bahia</c:v>
                </c:pt>
              </c:strCache>
            </c:strRef>
          </c:tx>
          <c:cat>
            <c:strRef>
              <c:f>'2013'!$B$5:$M$5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'2013'!$B$8:$M$8</c:f>
              <c:numCache>
                <c:formatCode>_-* #,##0_-;\-* #,##0_-;_-* "-"??_-;_-@_-</c:formatCode>
                <c:ptCount val="12"/>
                <c:pt idx="0">
                  <c:v>244713.21400000001</c:v>
                </c:pt>
                <c:pt idx="1">
                  <c:v>303759.23499999999</c:v>
                </c:pt>
                <c:pt idx="2">
                  <c:v>226081.20400000003</c:v>
                </c:pt>
                <c:pt idx="3">
                  <c:v>263273.60399999993</c:v>
                </c:pt>
                <c:pt idx="4">
                  <c:v>260782.63800000004</c:v>
                </c:pt>
                <c:pt idx="5">
                  <c:v>252855.81399999998</c:v>
                </c:pt>
                <c:pt idx="6">
                  <c:v>343570.674</c:v>
                </c:pt>
                <c:pt idx="7">
                  <c:v>309125.20600000001</c:v>
                </c:pt>
                <c:pt idx="8">
                  <c:v>241197.15400000001</c:v>
                </c:pt>
                <c:pt idx="9">
                  <c:v>384833.28499999992</c:v>
                </c:pt>
                <c:pt idx="10">
                  <c:v>238880</c:v>
                </c:pt>
                <c:pt idx="11" formatCode="#,##0">
                  <c:v>291744</c:v>
                </c:pt>
              </c:numCache>
            </c:numRef>
          </c:val>
        </c:ser>
        <c:overlap val="100"/>
        <c:axId val="105026304"/>
        <c:axId val="105027840"/>
      </c:barChart>
      <c:catAx>
        <c:axId val="10502630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05027840"/>
        <c:crosses val="autoZero"/>
        <c:auto val="1"/>
        <c:lblAlgn val="ctr"/>
        <c:lblOffset val="100"/>
      </c:catAx>
      <c:valAx>
        <c:axId val="105027840"/>
        <c:scaling>
          <c:orientation val="minMax"/>
        </c:scaling>
        <c:axPos val="l"/>
        <c:majorGridlines/>
        <c:numFmt formatCode="_-* #,##0_-;\-* #,##0_-;_-* &quot;-&quot;??_-;_-@_-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0502630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602" footer="0.314960620000006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/>
              <a:t>Movimentação de Cargas Conteinerizadas - Via Marítima</a:t>
            </a:r>
          </a:p>
          <a:p>
            <a:pPr>
              <a:defRPr/>
            </a:pPr>
            <a:r>
              <a:rPr lang="pt-BR"/>
              <a:t>em toneladas 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'2013'!$A$34</c:f>
              <c:strCache>
                <c:ptCount val="1"/>
                <c:pt idx="0">
                  <c:v>Da Bahia</c:v>
                </c:pt>
              </c:strCache>
            </c:strRef>
          </c:tx>
          <c:cat>
            <c:strRef>
              <c:f>'2013'!$B$32:$M$32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'2013'!$B$34:$M$34</c:f>
              <c:numCache>
                <c:formatCode>_-* #,##0_-;\-* #,##0_-;_-* "-"??_-;_-@_-</c:formatCode>
                <c:ptCount val="12"/>
                <c:pt idx="0">
                  <c:v>107633.84900000002</c:v>
                </c:pt>
                <c:pt idx="1">
                  <c:v>110111.39199999993</c:v>
                </c:pt>
                <c:pt idx="2">
                  <c:v>98139.165000000008</c:v>
                </c:pt>
                <c:pt idx="3">
                  <c:v>116050.42449999996</c:v>
                </c:pt>
                <c:pt idx="4">
                  <c:v>126389.89249999999</c:v>
                </c:pt>
                <c:pt idx="5">
                  <c:v>127862.05749999995</c:v>
                </c:pt>
                <c:pt idx="6">
                  <c:v>175895.59949999995</c:v>
                </c:pt>
                <c:pt idx="7">
                  <c:v>106410.27499999998</c:v>
                </c:pt>
                <c:pt idx="8">
                  <c:v>171337.38399999996</c:v>
                </c:pt>
                <c:pt idx="9">
                  <c:v>188731.38349999994</c:v>
                </c:pt>
                <c:pt idx="10">
                  <c:v>202948</c:v>
                </c:pt>
                <c:pt idx="11" formatCode="#,##0">
                  <c:v>137496</c:v>
                </c:pt>
              </c:numCache>
            </c:numRef>
          </c:val>
        </c:ser>
        <c:ser>
          <c:idx val="1"/>
          <c:order val="1"/>
          <c:tx>
            <c:strRef>
              <c:f>'2013'!$A$35</c:f>
              <c:strCache>
                <c:ptCount val="1"/>
                <c:pt idx="0">
                  <c:v>De Fora da Bahia</c:v>
                </c:pt>
              </c:strCache>
            </c:strRef>
          </c:tx>
          <c:cat>
            <c:strRef>
              <c:f>'2013'!$B$32:$M$32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'2013'!$B$35:$M$35</c:f>
              <c:numCache>
                <c:formatCode>_-* #,##0_-;\-* #,##0_-;_-* "-"??_-;_-@_-</c:formatCode>
                <c:ptCount val="12"/>
                <c:pt idx="0">
                  <c:v>25881.350000000013</c:v>
                </c:pt>
                <c:pt idx="1">
                  <c:v>37068.089000000036</c:v>
                </c:pt>
                <c:pt idx="2">
                  <c:v>39924.256000000001</c:v>
                </c:pt>
                <c:pt idx="3">
                  <c:v>65761.807999999946</c:v>
                </c:pt>
                <c:pt idx="4">
                  <c:v>42533.434000000016</c:v>
                </c:pt>
                <c:pt idx="5">
                  <c:v>35865.902999999998</c:v>
                </c:pt>
                <c:pt idx="6">
                  <c:v>60281.427999999956</c:v>
                </c:pt>
                <c:pt idx="7">
                  <c:v>55040.351999999999</c:v>
                </c:pt>
                <c:pt idx="8">
                  <c:v>43767.705000000016</c:v>
                </c:pt>
                <c:pt idx="9">
                  <c:v>87364.975999999937</c:v>
                </c:pt>
                <c:pt idx="10">
                  <c:v>46355</c:v>
                </c:pt>
                <c:pt idx="11" formatCode="#,##0">
                  <c:v>47003</c:v>
                </c:pt>
              </c:numCache>
            </c:numRef>
          </c:val>
        </c:ser>
        <c:overlap val="100"/>
        <c:axId val="105044608"/>
        <c:axId val="105062784"/>
      </c:barChart>
      <c:catAx>
        <c:axId val="10504460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05062784"/>
        <c:crosses val="autoZero"/>
        <c:auto val="1"/>
        <c:lblAlgn val="ctr"/>
        <c:lblOffset val="100"/>
      </c:catAx>
      <c:valAx>
        <c:axId val="105062784"/>
        <c:scaling>
          <c:orientation val="minMax"/>
        </c:scaling>
        <c:axPos val="l"/>
        <c:majorGridlines/>
        <c:numFmt formatCode="_-* #,##0_-;\-* #,##0_-;_-* &quot;-&quot;??_-;_-@_-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0504460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602" footer="0.3149606200000060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Evolução do Comex Baiano - 2013 - Via Marítima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em toneladas</a:t>
            </a:r>
          </a:p>
        </c:rich>
      </c:tx>
    </c:title>
    <c:plotArea>
      <c:layout>
        <c:manualLayout>
          <c:layoutTarget val="inner"/>
          <c:xMode val="edge"/>
          <c:yMode val="edge"/>
          <c:x val="6.5666498608334234E-2"/>
          <c:y val="0.22119607930364518"/>
          <c:w val="0.8369819159941827"/>
          <c:h val="0.69198036686092157"/>
        </c:manualLayout>
      </c:layout>
      <c:lineChart>
        <c:grouping val="standard"/>
        <c:ser>
          <c:idx val="0"/>
          <c:order val="0"/>
          <c:tx>
            <c:strRef>
              <c:f>'2013'!$A$85</c:f>
              <c:strCache>
                <c:ptCount val="1"/>
                <c:pt idx="0">
                  <c:v>Importação</c:v>
                </c:pt>
              </c:strCache>
            </c:strRef>
          </c:tx>
          <c:cat>
            <c:strRef>
              <c:f>'2013'!$B$83:$M$83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'2013'!$B$85:$M$85</c:f>
              <c:numCache>
                <c:formatCode>_-* #,##0_-;\-* #,##0_-;_-* "-"??_-;_-@_-</c:formatCode>
                <c:ptCount val="12"/>
                <c:pt idx="0">
                  <c:v>417376.99</c:v>
                </c:pt>
                <c:pt idx="1">
                  <c:v>271124.41100000002</c:v>
                </c:pt>
                <c:pt idx="2">
                  <c:v>560632.78700000001</c:v>
                </c:pt>
                <c:pt idx="3">
                  <c:v>309817.10099999997</c:v>
                </c:pt>
                <c:pt idx="4">
                  <c:v>572150.24600000004</c:v>
                </c:pt>
                <c:pt idx="5">
                  <c:v>476819.35000000021</c:v>
                </c:pt>
                <c:pt idx="6">
                  <c:v>474987.14599999983</c:v>
                </c:pt>
                <c:pt idx="7">
                  <c:v>550454.46299999999</c:v>
                </c:pt>
                <c:pt idx="8">
                  <c:v>549198.07599999977</c:v>
                </c:pt>
                <c:pt idx="9">
                  <c:v>715097.43600000022</c:v>
                </c:pt>
                <c:pt idx="10" formatCode="#,##0">
                  <c:v>565120</c:v>
                </c:pt>
                <c:pt idx="11" formatCode="#,##0">
                  <c:v>407704</c:v>
                </c:pt>
              </c:numCache>
            </c:numRef>
          </c:val>
        </c:ser>
        <c:ser>
          <c:idx val="1"/>
          <c:order val="1"/>
          <c:tx>
            <c:strRef>
              <c:f>'2013'!$A$86</c:f>
              <c:strCache>
                <c:ptCount val="1"/>
                <c:pt idx="0">
                  <c:v>Exportação</c:v>
                </c:pt>
              </c:strCache>
            </c:strRef>
          </c:tx>
          <c:cat>
            <c:strRef>
              <c:f>'2013'!$B$83:$M$83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'2013'!$B$86:$M$86</c:f>
              <c:numCache>
                <c:formatCode>_-* #,##0_-;\-* #,##0_-;_-* "-"??_-;_-@_-</c:formatCode>
                <c:ptCount val="12"/>
                <c:pt idx="0">
                  <c:v>590126.38399999985</c:v>
                </c:pt>
                <c:pt idx="1">
                  <c:v>539539.83599999989</c:v>
                </c:pt>
                <c:pt idx="2">
                  <c:v>592788.06700000004</c:v>
                </c:pt>
                <c:pt idx="3">
                  <c:v>1086359.0209999999</c:v>
                </c:pt>
                <c:pt idx="4">
                  <c:v>977033.21500000008</c:v>
                </c:pt>
                <c:pt idx="5">
                  <c:v>860515.15099999984</c:v>
                </c:pt>
                <c:pt idx="6">
                  <c:v>1252877.8860000002</c:v>
                </c:pt>
                <c:pt idx="7">
                  <c:v>891274.90500000003</c:v>
                </c:pt>
                <c:pt idx="8">
                  <c:v>1067779.8470000001</c:v>
                </c:pt>
                <c:pt idx="9">
                  <c:v>679375.89199999988</c:v>
                </c:pt>
                <c:pt idx="10" formatCode="#,##0">
                  <c:v>764575</c:v>
                </c:pt>
                <c:pt idx="11" formatCode="#,##0">
                  <c:v>591496</c:v>
                </c:pt>
              </c:numCache>
            </c:numRef>
          </c:val>
        </c:ser>
        <c:marker val="1"/>
        <c:axId val="105100032"/>
        <c:axId val="105101568"/>
      </c:lineChart>
      <c:catAx>
        <c:axId val="10510003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5101568"/>
        <c:crosses val="autoZero"/>
        <c:auto val="1"/>
        <c:lblAlgn val="ctr"/>
        <c:lblOffset val="100"/>
      </c:catAx>
      <c:valAx>
        <c:axId val="105101568"/>
        <c:scaling>
          <c:orientation val="minMax"/>
        </c:scaling>
        <c:axPos val="l"/>
        <c:majorGridlines/>
        <c:numFmt formatCode="_-* #,##0_-;\-* #,##0_-;_-* &quot;-&quot;??_-;_-@_-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5100032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385" footer="0.3149606200000038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Participação da Bahia nas Exportações do Brasil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Via Marítima - em toneladas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 sz="18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</c:rich>
      </c:tx>
    </c:title>
    <c:plotArea>
      <c:layout>
        <c:manualLayout>
          <c:layoutTarget val="inner"/>
          <c:xMode val="edge"/>
          <c:yMode val="edge"/>
          <c:x val="4.1151296765870267E-2"/>
          <c:y val="0.26702573636628757"/>
          <c:w val="0.88027654093314966"/>
          <c:h val="0.58259988334791457"/>
        </c:manualLayout>
      </c:layout>
      <c:lineChart>
        <c:grouping val="standard"/>
        <c:ser>
          <c:idx val="0"/>
          <c:order val="0"/>
          <c:tx>
            <c:strRef>
              <c:f>'2013'!$A$110</c:f>
              <c:strCache>
                <c:ptCount val="1"/>
                <c:pt idx="0">
                  <c:v>BA/BR %</c:v>
                </c:pt>
              </c:strCache>
            </c:strRef>
          </c:tx>
          <c:cat>
            <c:strRef>
              <c:f>'2013'!$C$107:$M$107</c:f>
              <c:strCache>
                <c:ptCount val="11"/>
                <c:pt idx="0">
                  <c:v>Fevereiro</c:v>
                </c:pt>
                <c:pt idx="1">
                  <c:v>Março</c:v>
                </c:pt>
                <c:pt idx="2">
                  <c:v>Abril</c:v>
                </c:pt>
                <c:pt idx="3">
                  <c:v>Maio</c:v>
                </c:pt>
                <c:pt idx="4">
                  <c:v>Junho</c:v>
                </c:pt>
                <c:pt idx="5">
                  <c:v>Julho</c:v>
                </c:pt>
                <c:pt idx="6">
                  <c:v>Agosto</c:v>
                </c:pt>
                <c:pt idx="7">
                  <c:v>Setembro</c:v>
                </c:pt>
                <c:pt idx="8">
                  <c:v>Outubro</c:v>
                </c:pt>
                <c:pt idx="9">
                  <c:v>Novembro</c:v>
                </c:pt>
                <c:pt idx="10">
                  <c:v>Dezembro</c:v>
                </c:pt>
              </c:strCache>
            </c:strRef>
          </c:cat>
          <c:val>
            <c:numRef>
              <c:f>'2013'!$C$110:$M$110</c:f>
              <c:numCache>
                <c:formatCode>0.0%</c:formatCode>
                <c:ptCount val="11"/>
                <c:pt idx="0">
                  <c:v>1.5893068255938624E-2</c:v>
                </c:pt>
                <c:pt idx="1">
                  <c:v>1.5600920304950572E-2</c:v>
                </c:pt>
                <c:pt idx="2">
                  <c:v>2.6241647371782528E-2</c:v>
                </c:pt>
                <c:pt idx="3">
                  <c:v>2.1105776412757966E-2</c:v>
                </c:pt>
                <c:pt idx="4">
                  <c:v>2.0092383285294387E-2</c:v>
                </c:pt>
                <c:pt idx="5">
                  <c:v>2.6812494988161562E-2</c:v>
                </c:pt>
                <c:pt idx="6">
                  <c:v>1.7279795382607918E-2</c:v>
                </c:pt>
                <c:pt idx="7">
                  <c:v>2.1980064427497011E-2</c:v>
                </c:pt>
                <c:pt idx="8">
                  <c:v>1.35228175252252E-2</c:v>
                </c:pt>
                <c:pt idx="9">
                  <c:v>1.6030059363025095E-2</c:v>
                </c:pt>
                <c:pt idx="10">
                  <c:v>1.2362274062822334E-2</c:v>
                </c:pt>
              </c:numCache>
            </c:numRef>
          </c:val>
        </c:ser>
        <c:marker val="1"/>
        <c:axId val="105146240"/>
        <c:axId val="105147776"/>
      </c:lineChart>
      <c:catAx>
        <c:axId val="10514624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5147776"/>
        <c:crosses val="autoZero"/>
        <c:auto val="1"/>
        <c:lblAlgn val="ctr"/>
        <c:lblOffset val="100"/>
      </c:catAx>
      <c:valAx>
        <c:axId val="105147776"/>
        <c:scaling>
          <c:orientation val="minMax"/>
          <c:max val="3.0000000000000016E-2"/>
          <c:min val="1.0000000000000005E-2"/>
        </c:scaling>
        <c:axPos val="l"/>
        <c:majorGridlines/>
        <c:numFmt formatCode="0.0%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5146240"/>
        <c:crosses val="autoZero"/>
        <c:crossBetween val="between"/>
      </c:valAx>
    </c:plotArea>
    <c:legend>
      <c:legendPos val="r"/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385" footer="0.3149606200000038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Participação da Bahia nas Importações do Brasil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Via Marítima - em toneladas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'2013'!$A$132</c:f>
              <c:strCache>
                <c:ptCount val="1"/>
                <c:pt idx="0">
                  <c:v>BA/BR %</c:v>
                </c:pt>
              </c:strCache>
            </c:strRef>
          </c:tx>
          <c:cat>
            <c:strRef>
              <c:f>'2013'!$B$129:$M$129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'2013'!$B$132:$M$132</c:f>
              <c:numCache>
                <c:formatCode>0.0%</c:formatCode>
                <c:ptCount val="12"/>
                <c:pt idx="0">
                  <c:v>3.6765115022898351E-2</c:v>
                </c:pt>
                <c:pt idx="1">
                  <c:v>2.679381458187689E-2</c:v>
                </c:pt>
                <c:pt idx="2">
                  <c:v>4.8729155928380237E-2</c:v>
                </c:pt>
                <c:pt idx="3">
                  <c:v>2.383395387930758E-2</c:v>
                </c:pt>
                <c:pt idx="4">
                  <c:v>4.4141968542140392E-2</c:v>
                </c:pt>
                <c:pt idx="5">
                  <c:v>4.6485748826460761E-2</c:v>
                </c:pt>
                <c:pt idx="6">
                  <c:v>3.2554726169768101E-2</c:v>
                </c:pt>
                <c:pt idx="7">
                  <c:v>4.5405037709945709E-2</c:v>
                </c:pt>
                <c:pt idx="8">
                  <c:v>5.0696061981851677E-2</c:v>
                </c:pt>
                <c:pt idx="9">
                  <c:v>5.0383676641944083E-2</c:v>
                </c:pt>
                <c:pt idx="10">
                  <c:v>4.9098339307152718E-2</c:v>
                </c:pt>
                <c:pt idx="11">
                  <c:v>3.6514982659595803E-2</c:v>
                </c:pt>
              </c:numCache>
            </c:numRef>
          </c:val>
        </c:ser>
        <c:marker val="1"/>
        <c:axId val="105163776"/>
        <c:axId val="105169664"/>
      </c:lineChart>
      <c:catAx>
        <c:axId val="1051637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5169664"/>
        <c:crosses val="autoZero"/>
        <c:auto val="1"/>
        <c:lblAlgn val="ctr"/>
        <c:lblOffset val="100"/>
      </c:catAx>
      <c:valAx>
        <c:axId val="105169664"/>
        <c:scaling>
          <c:orientation val="minMax"/>
          <c:max val="5.5000000000000014E-2"/>
          <c:min val="0"/>
        </c:scaling>
        <c:axPos val="l"/>
        <c:majorGridlines/>
        <c:numFmt formatCode="0%" sourceLinked="0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5163776"/>
        <c:crosses val="autoZero"/>
        <c:crossBetween val="between"/>
      </c:valAx>
    </c:plotArea>
    <c:legend>
      <c:legendPos val="r"/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385" footer="0.3149606200000038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 sz="1800"/>
              <a:t>Comércio</a:t>
            </a:r>
            <a:r>
              <a:rPr lang="pt-BR" sz="1800" baseline="0"/>
              <a:t> Exterior Baiano</a:t>
            </a:r>
          </a:p>
          <a:p>
            <a:pPr>
              <a:defRPr/>
            </a:pPr>
            <a:r>
              <a:rPr lang="pt-BR" sz="1200" b="0" baseline="0"/>
              <a:t>Cargas conteinerizadas - em toneladas</a:t>
            </a:r>
            <a:endParaRPr lang="pt-BR" sz="1200" b="0"/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'2013'!$A$61</c:f>
              <c:strCache>
                <c:ptCount val="1"/>
                <c:pt idx="0">
                  <c:v>Da Bahia</c:v>
                </c:pt>
              </c:strCache>
            </c:strRef>
          </c:tx>
          <c:cat>
            <c:numRef>
              <c:f>'2013'!$B$60:$M$60</c:f>
              <c:numCache>
                <c:formatCode>mmm/yy</c:formatCode>
                <c:ptCount val="1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</c:numCache>
            </c:numRef>
          </c:cat>
          <c:val>
            <c:numRef>
              <c:f>'2013'!$B$61:$M$61</c:f>
              <c:numCache>
                <c:formatCode>_-* #,##0_-;\-* #,##0_-;_-* "-"??_-;_-@_-</c:formatCode>
                <c:ptCount val="12"/>
                <c:pt idx="0">
                  <c:v>107633.84900000002</c:v>
                </c:pt>
                <c:pt idx="1">
                  <c:v>110111.39199999993</c:v>
                </c:pt>
                <c:pt idx="2">
                  <c:v>98139.165000000008</c:v>
                </c:pt>
                <c:pt idx="3">
                  <c:v>116050.42449999996</c:v>
                </c:pt>
                <c:pt idx="4">
                  <c:v>126389.89249999999</c:v>
                </c:pt>
                <c:pt idx="5">
                  <c:v>127862.05749999995</c:v>
                </c:pt>
                <c:pt idx="6">
                  <c:v>175895.59949999995</c:v>
                </c:pt>
                <c:pt idx="7">
                  <c:v>106410.27499999998</c:v>
                </c:pt>
                <c:pt idx="8">
                  <c:v>171337</c:v>
                </c:pt>
                <c:pt idx="9">
                  <c:v>188731.38349999994</c:v>
                </c:pt>
                <c:pt idx="10">
                  <c:v>202948</c:v>
                </c:pt>
                <c:pt idx="11">
                  <c:v>137496</c:v>
                </c:pt>
              </c:numCache>
            </c:numRef>
          </c:val>
        </c:ser>
        <c:ser>
          <c:idx val="1"/>
          <c:order val="1"/>
          <c:tx>
            <c:strRef>
              <c:f>'2013'!$A$62</c:f>
              <c:strCache>
                <c:ptCount val="1"/>
                <c:pt idx="0">
                  <c:v>De Fora da Bahia</c:v>
                </c:pt>
              </c:strCache>
            </c:strRef>
          </c:tx>
          <c:cat>
            <c:numRef>
              <c:f>'2013'!$B$60:$M$60</c:f>
              <c:numCache>
                <c:formatCode>mmm/yy</c:formatCode>
                <c:ptCount val="1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</c:numCache>
            </c:numRef>
          </c:cat>
          <c:val>
            <c:numRef>
              <c:f>'2013'!$B$62:$M$62</c:f>
              <c:numCache>
                <c:formatCode>_-* #,##0_-;\-* #,##0_-;_-* "-"??_-;_-@_-</c:formatCode>
                <c:ptCount val="12"/>
                <c:pt idx="0">
                  <c:v>25881.350000000013</c:v>
                </c:pt>
                <c:pt idx="1">
                  <c:v>37068.089000000036</c:v>
                </c:pt>
                <c:pt idx="2">
                  <c:v>39924.256000000001</c:v>
                </c:pt>
                <c:pt idx="3">
                  <c:v>65761.807999999946</c:v>
                </c:pt>
                <c:pt idx="4">
                  <c:v>42533.434000000016</c:v>
                </c:pt>
                <c:pt idx="5">
                  <c:v>35865.902999999998</c:v>
                </c:pt>
                <c:pt idx="6">
                  <c:v>60281.427999999956</c:v>
                </c:pt>
                <c:pt idx="7">
                  <c:v>55040.351999999999</c:v>
                </c:pt>
                <c:pt idx="8">
                  <c:v>43768</c:v>
                </c:pt>
                <c:pt idx="9">
                  <c:v>87364.975999999937</c:v>
                </c:pt>
                <c:pt idx="10">
                  <c:v>46355</c:v>
                </c:pt>
                <c:pt idx="11">
                  <c:v>47003</c:v>
                </c:pt>
              </c:numCache>
            </c:numRef>
          </c:val>
        </c:ser>
        <c:gapWidth val="75"/>
        <c:overlap val="100"/>
        <c:axId val="105586688"/>
        <c:axId val="105588224"/>
      </c:barChart>
      <c:dateAx>
        <c:axId val="105586688"/>
        <c:scaling>
          <c:orientation val="minMax"/>
        </c:scaling>
        <c:axPos val="b"/>
        <c:numFmt formatCode="mmm/yy" sourceLinked="1"/>
        <c:majorTickMark val="none"/>
        <c:tickLblPos val="nextTo"/>
        <c:crossAx val="105588224"/>
        <c:crosses val="autoZero"/>
        <c:auto val="1"/>
        <c:lblOffset val="100"/>
        <c:baseTimeUnit val="months"/>
      </c:dateAx>
      <c:valAx>
        <c:axId val="105588224"/>
        <c:scaling>
          <c:orientation val="minMax"/>
        </c:scaling>
        <c:axPos val="l"/>
        <c:majorGridlines/>
        <c:numFmt formatCode="_-* #,##0_-;\-* #,##0_-;_-* &quot;-&quot;??_-;_-@_-" sourceLinked="1"/>
        <c:majorTickMark val="none"/>
        <c:tickLblPos val="nextTo"/>
        <c:spPr>
          <a:ln w="9525">
            <a:noFill/>
          </a:ln>
        </c:spPr>
        <c:crossAx val="10558668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213" footer="0.3149606200000021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/>
              <a:t>Movimentação de Cargas Gerais - Via Marítima </a:t>
            </a:r>
          </a:p>
          <a:p>
            <a:pPr>
              <a:defRPr/>
            </a:pPr>
            <a:r>
              <a:rPr lang="pt-BR"/>
              <a:t>em toneladas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'2014'!$A$7</c:f>
              <c:strCache>
                <c:ptCount val="1"/>
                <c:pt idx="0">
                  <c:v>Da Bahia</c:v>
                </c:pt>
              </c:strCache>
            </c:strRef>
          </c:tx>
          <c:cat>
            <c:strRef>
              <c:f>'2014'!$B$5:$M$5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'2014'!$B$7:$M$7</c:f>
              <c:numCache>
                <c:formatCode>_-* #,##0_-;\-* #,##0_-;_-* "-"??_-;_-@_-</c:formatCode>
                <c:ptCount val="12"/>
                <c:pt idx="0">
                  <c:v>867051</c:v>
                </c:pt>
                <c:pt idx="1">
                  <c:v>818155</c:v>
                </c:pt>
                <c:pt idx="2">
                  <c:v>920006</c:v>
                </c:pt>
                <c:pt idx="3">
                  <c:v>916818.92299999995</c:v>
                </c:pt>
                <c:pt idx="4">
                  <c:v>1646983.1720000003</c:v>
                </c:pt>
                <c:pt idx="5">
                  <c:v>1188231.8790000002</c:v>
                </c:pt>
                <c:pt idx="6">
                  <c:v>1549796.8629999999</c:v>
                </c:pt>
                <c:pt idx="7">
                  <c:v>1155495.531</c:v>
                </c:pt>
                <c:pt idx="8">
                  <c:v>1186473.7279999999</c:v>
                </c:pt>
                <c:pt idx="9">
                  <c:v>1158247.7519999999</c:v>
                </c:pt>
                <c:pt idx="10">
                  <c:v>990943.78700000013</c:v>
                </c:pt>
                <c:pt idx="11" formatCode="#,##0">
                  <c:v>1926115.0729999999</c:v>
                </c:pt>
              </c:numCache>
            </c:numRef>
          </c:val>
        </c:ser>
        <c:ser>
          <c:idx val="1"/>
          <c:order val="1"/>
          <c:tx>
            <c:strRef>
              <c:f>'2014'!$A$8</c:f>
              <c:strCache>
                <c:ptCount val="1"/>
                <c:pt idx="0">
                  <c:v>De Fora da Bahia</c:v>
                </c:pt>
              </c:strCache>
            </c:strRef>
          </c:tx>
          <c:cat>
            <c:strRef>
              <c:f>'2014'!$B$5:$M$5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'2014'!$B$8:$M$8</c:f>
              <c:numCache>
                <c:formatCode>_-* #,##0_-;\-* #,##0_-;_-* "-"??_-;_-@_-</c:formatCode>
                <c:ptCount val="12"/>
                <c:pt idx="0">
                  <c:v>368558</c:v>
                </c:pt>
                <c:pt idx="1">
                  <c:v>250944</c:v>
                </c:pt>
                <c:pt idx="2">
                  <c:v>234717</c:v>
                </c:pt>
                <c:pt idx="3">
                  <c:v>254298.57100000003</c:v>
                </c:pt>
                <c:pt idx="4">
                  <c:v>320056.82899999997</c:v>
                </c:pt>
                <c:pt idx="5">
                  <c:v>236095.44100000002</c:v>
                </c:pt>
                <c:pt idx="6">
                  <c:v>287329.815</c:v>
                </c:pt>
                <c:pt idx="7">
                  <c:v>296042.41899999999</c:v>
                </c:pt>
                <c:pt idx="8">
                  <c:v>373205.90700000001</c:v>
                </c:pt>
                <c:pt idx="9">
                  <c:v>413069.25700000004</c:v>
                </c:pt>
                <c:pt idx="10">
                  <c:v>280797.95199999999</c:v>
                </c:pt>
                <c:pt idx="11" formatCode="#,##0">
                  <c:v>268788.734</c:v>
                </c:pt>
              </c:numCache>
            </c:numRef>
          </c:val>
        </c:ser>
        <c:overlap val="100"/>
        <c:axId val="105635200"/>
        <c:axId val="105731200"/>
      </c:barChart>
      <c:catAx>
        <c:axId val="10563520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05731200"/>
        <c:crosses val="autoZero"/>
        <c:auto val="1"/>
        <c:lblAlgn val="ctr"/>
        <c:lblOffset val="100"/>
      </c:catAx>
      <c:valAx>
        <c:axId val="105731200"/>
        <c:scaling>
          <c:orientation val="minMax"/>
          <c:max val="2500000"/>
        </c:scaling>
        <c:axPos val="l"/>
        <c:majorGridlines/>
        <c:numFmt formatCode="_-* #,##0_-;\-* #,##0_-;_-* &quot;-&quot;??_-;_-@_-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0563520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602" footer="0.3149606200000060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/>
              <a:t>Movimentação de Cargas Conteinerizadas - Via Marítima</a:t>
            </a:r>
          </a:p>
          <a:p>
            <a:pPr>
              <a:defRPr/>
            </a:pPr>
            <a:r>
              <a:rPr lang="pt-BR"/>
              <a:t>em toneladas 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'2014'!$A$34</c:f>
              <c:strCache>
                <c:ptCount val="1"/>
                <c:pt idx="0">
                  <c:v>Da Bahia</c:v>
                </c:pt>
              </c:strCache>
            </c:strRef>
          </c:tx>
          <c:cat>
            <c:strRef>
              <c:f>'2014'!$B$32:$M$32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'2014'!$B$34:$M$34</c:f>
              <c:numCache>
                <c:formatCode>_-* #,##0_-;\-* #,##0_-;_-* "-"??_-;_-@_-</c:formatCode>
                <c:ptCount val="12"/>
                <c:pt idx="0">
                  <c:v>158421</c:v>
                </c:pt>
                <c:pt idx="1">
                  <c:v>101686</c:v>
                </c:pt>
                <c:pt idx="2">
                  <c:v>213231</c:v>
                </c:pt>
                <c:pt idx="3">
                  <c:v>127813</c:v>
                </c:pt>
                <c:pt idx="4">
                  <c:v>132558.31150000001</c:v>
                </c:pt>
                <c:pt idx="5">
                  <c:v>118177.84149999991</c:v>
                </c:pt>
                <c:pt idx="6">
                  <c:v>126459.5069999999</c:v>
                </c:pt>
                <c:pt idx="7">
                  <c:v>184179.66599999997</c:v>
                </c:pt>
                <c:pt idx="8">
                  <c:v>130053.85650000002</c:v>
                </c:pt>
                <c:pt idx="9">
                  <c:v>198425.46449999977</c:v>
                </c:pt>
                <c:pt idx="10">
                  <c:v>147889.36449999994</c:v>
                </c:pt>
                <c:pt idx="11" formatCode="#,##0">
                  <c:v>139962.47879999992</c:v>
                </c:pt>
              </c:numCache>
            </c:numRef>
          </c:val>
        </c:ser>
        <c:ser>
          <c:idx val="1"/>
          <c:order val="1"/>
          <c:tx>
            <c:strRef>
              <c:f>'2014'!$A$35</c:f>
              <c:strCache>
                <c:ptCount val="1"/>
                <c:pt idx="0">
                  <c:v>De Fora da Bahia</c:v>
                </c:pt>
              </c:strCache>
            </c:strRef>
          </c:tx>
          <c:cat>
            <c:strRef>
              <c:f>'2014'!$B$32:$M$32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'2014'!$B$35:$M$35</c:f>
              <c:numCache>
                <c:formatCode>_-* #,##0_-;\-* #,##0_-;_-* "-"??_-;_-@_-</c:formatCode>
                <c:ptCount val="12"/>
                <c:pt idx="0">
                  <c:v>43512</c:v>
                </c:pt>
                <c:pt idx="1">
                  <c:v>42574</c:v>
                </c:pt>
                <c:pt idx="2">
                  <c:v>48311</c:v>
                </c:pt>
                <c:pt idx="3">
                  <c:v>54694</c:v>
                </c:pt>
                <c:pt idx="4">
                  <c:v>44749.855000000018</c:v>
                </c:pt>
                <c:pt idx="5">
                  <c:v>66536.77800000002</c:v>
                </c:pt>
                <c:pt idx="6">
                  <c:v>51108.786000000022</c:v>
                </c:pt>
                <c:pt idx="7">
                  <c:v>44165.174000000014</c:v>
                </c:pt>
                <c:pt idx="8">
                  <c:v>79222.106000000029</c:v>
                </c:pt>
                <c:pt idx="9">
                  <c:v>63582.781999999992</c:v>
                </c:pt>
                <c:pt idx="10" formatCode="#,##0">
                  <c:v>55544.688999999969</c:v>
                </c:pt>
                <c:pt idx="11" formatCode="#,##0">
                  <c:v>37788.182000000008</c:v>
                </c:pt>
              </c:numCache>
            </c:numRef>
          </c:val>
        </c:ser>
        <c:overlap val="100"/>
        <c:axId val="105764352"/>
        <c:axId val="105765888"/>
      </c:barChart>
      <c:catAx>
        <c:axId val="10576435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05765888"/>
        <c:crosses val="autoZero"/>
        <c:auto val="1"/>
        <c:lblAlgn val="ctr"/>
        <c:lblOffset val="100"/>
      </c:catAx>
      <c:valAx>
        <c:axId val="105765888"/>
        <c:scaling>
          <c:orientation val="minMax"/>
        </c:scaling>
        <c:axPos val="l"/>
        <c:majorGridlines/>
        <c:numFmt formatCode="_-* #,##0_-;\-* #,##0_-;_-* &quot;-&quot;??_-;_-@_-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0576435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602" footer="0.3149606200000060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Evolução do Comex Baiano - 2014 - Via Marítima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em toneladas</a:t>
            </a:r>
          </a:p>
        </c:rich>
      </c:tx>
    </c:title>
    <c:plotArea>
      <c:layout>
        <c:manualLayout>
          <c:layoutTarget val="inner"/>
          <c:xMode val="edge"/>
          <c:yMode val="edge"/>
          <c:x val="6.5666498608334234E-2"/>
          <c:y val="0.22119607930364518"/>
          <c:w val="0.8369819159941827"/>
          <c:h val="0.69198036686092157"/>
        </c:manualLayout>
      </c:layout>
      <c:lineChart>
        <c:grouping val="standard"/>
        <c:ser>
          <c:idx val="0"/>
          <c:order val="0"/>
          <c:tx>
            <c:strRef>
              <c:f>'2014'!$A$85</c:f>
              <c:strCache>
                <c:ptCount val="1"/>
                <c:pt idx="0">
                  <c:v>Importação</c:v>
                </c:pt>
              </c:strCache>
            </c:strRef>
          </c:tx>
          <c:cat>
            <c:strRef>
              <c:f>'2014'!$B$83:$M$83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'2014'!$B$85:$M$85</c:f>
              <c:numCache>
                <c:formatCode>_-* #,##0_-;\-* #,##0_-;_-* "-"??_-;_-@_-</c:formatCode>
                <c:ptCount val="12"/>
                <c:pt idx="0">
                  <c:v>516650</c:v>
                </c:pt>
                <c:pt idx="1">
                  <c:v>371113</c:v>
                </c:pt>
                <c:pt idx="2">
                  <c:v>552124</c:v>
                </c:pt>
                <c:pt idx="3">
                  <c:v>308561</c:v>
                </c:pt>
                <c:pt idx="4">
                  <c:v>830435.99800000014</c:v>
                </c:pt>
                <c:pt idx="5">
                  <c:v>481614.94800000009</c:v>
                </c:pt>
                <c:pt idx="6">
                  <c:v>761331.71799999999</c:v>
                </c:pt>
                <c:pt idx="7">
                  <c:v>575538.50799999991</c:v>
                </c:pt>
                <c:pt idx="8">
                  <c:v>384435.62800000003</c:v>
                </c:pt>
                <c:pt idx="9">
                  <c:v>823094.60099999991</c:v>
                </c:pt>
                <c:pt idx="10" formatCode="#,##0">
                  <c:v>613496.20700000005</c:v>
                </c:pt>
                <c:pt idx="11" formatCode="#,##0">
                  <c:v>1308443.1929999997</c:v>
                </c:pt>
              </c:numCache>
            </c:numRef>
          </c:val>
        </c:ser>
        <c:ser>
          <c:idx val="1"/>
          <c:order val="1"/>
          <c:tx>
            <c:strRef>
              <c:f>'2014'!$A$86</c:f>
              <c:strCache>
                <c:ptCount val="1"/>
                <c:pt idx="0">
                  <c:v>Exportação</c:v>
                </c:pt>
              </c:strCache>
            </c:strRef>
          </c:tx>
          <c:cat>
            <c:strRef>
              <c:f>'2014'!$B$83:$M$83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'2014'!$B$86:$M$86</c:f>
              <c:numCache>
                <c:formatCode>_-* #,##0_-;\-* #,##0_-;_-* "-"??_-;_-@_-</c:formatCode>
                <c:ptCount val="12"/>
                <c:pt idx="0">
                  <c:v>718958</c:v>
                </c:pt>
                <c:pt idx="1">
                  <c:v>697986</c:v>
                </c:pt>
                <c:pt idx="2">
                  <c:v>602659</c:v>
                </c:pt>
                <c:pt idx="3">
                  <c:v>862556</c:v>
                </c:pt>
                <c:pt idx="4">
                  <c:v>1136604.0029999998</c:v>
                </c:pt>
                <c:pt idx="5">
                  <c:v>942712.37199999997</c:v>
                </c:pt>
                <c:pt idx="6">
                  <c:v>1075794.96</c:v>
                </c:pt>
                <c:pt idx="7">
                  <c:v>875999.44200000004</c:v>
                </c:pt>
                <c:pt idx="8">
                  <c:v>1175244.0069999998</c:v>
                </c:pt>
                <c:pt idx="9">
                  <c:v>748222.40800000005</c:v>
                </c:pt>
                <c:pt idx="10" formatCode="#,##0">
                  <c:v>658245.53200000012</c:v>
                </c:pt>
                <c:pt idx="11" formatCode="#,##0">
                  <c:v>886460.61400000006</c:v>
                </c:pt>
              </c:numCache>
            </c:numRef>
          </c:val>
        </c:ser>
        <c:marker val="1"/>
        <c:axId val="105217408"/>
        <c:axId val="105227392"/>
      </c:lineChart>
      <c:catAx>
        <c:axId val="10521740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5227392"/>
        <c:crosses val="autoZero"/>
        <c:auto val="1"/>
        <c:lblAlgn val="ctr"/>
        <c:lblOffset val="100"/>
      </c:catAx>
      <c:valAx>
        <c:axId val="105227392"/>
        <c:scaling>
          <c:orientation val="minMax"/>
        </c:scaling>
        <c:axPos val="l"/>
        <c:majorGridlines/>
        <c:numFmt formatCode="_-* #,##0_-;\-* #,##0_-;_-* &quot;-&quot;??_-;_-@_-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5217408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385" footer="0.3149606200000038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7.2774070396625812E-2"/>
          <c:y val="5.4149976219415516E-2"/>
          <c:w val="0.9063722313303213"/>
          <c:h val="0.83823636139442259"/>
        </c:manualLayout>
      </c:layout>
      <c:barChart>
        <c:barDir val="col"/>
        <c:grouping val="clustered"/>
        <c:ser>
          <c:idx val="0"/>
          <c:order val="0"/>
          <c:cat>
            <c:numRef>
              <c:f>'Contêineres (Anual) '!$B$4:$G$4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'Contêineres (Anual) '!$B$5:$G$5</c:f>
              <c:numCache>
                <c:formatCode>_-* #,##0_-;\-* #,##0_-;_-* "-"??_-;_-@_-</c:formatCode>
                <c:ptCount val="6"/>
                <c:pt idx="0">
                  <c:v>2030131</c:v>
                </c:pt>
                <c:pt idx="1">
                  <c:v>1932314</c:v>
                </c:pt>
                <c:pt idx="2">
                  <c:v>1881082</c:v>
                </c:pt>
                <c:pt idx="3">
                  <c:v>1763422</c:v>
                </c:pt>
                <c:pt idx="4">
                  <c:v>2018479.5889999997</c:v>
                </c:pt>
                <c:pt idx="5">
                  <c:v>2255852.7234999998</c:v>
                </c:pt>
              </c:numCache>
            </c:numRef>
          </c:val>
        </c:ser>
        <c:axId val="105683968"/>
        <c:axId val="105706240"/>
      </c:barChart>
      <c:catAx>
        <c:axId val="105683968"/>
        <c:scaling>
          <c:orientation val="minMax"/>
        </c:scaling>
        <c:axPos val="b"/>
        <c:numFmt formatCode="General" sourceLinked="1"/>
        <c:tickLblPos val="nextTo"/>
        <c:crossAx val="105706240"/>
        <c:crosses val="autoZero"/>
        <c:auto val="1"/>
        <c:lblAlgn val="ctr"/>
        <c:lblOffset val="100"/>
      </c:catAx>
      <c:valAx>
        <c:axId val="105706240"/>
        <c:scaling>
          <c:orientation val="minMax"/>
        </c:scaling>
        <c:axPos val="l"/>
        <c:majorGridlines/>
        <c:numFmt formatCode="_-* #,##0_-;\-* #,##0_-;_-* &quot;-&quot;??_-;_-@_-" sourceLinked="1"/>
        <c:tickLblPos val="nextTo"/>
        <c:crossAx val="105683968"/>
        <c:crosses val="autoZero"/>
        <c:crossBetween val="between"/>
      </c:valAx>
    </c:plotArea>
    <c:plotVisOnly val="1"/>
    <c:dispBlanksAs val="gap"/>
  </c:chart>
  <c:printSettings>
    <c:headerFooter/>
    <c:pageMargins b="0.78740157499999996" l="0.511811024" r="0.511811024" t="0.78740157499999996" header="0.31496062000000208" footer="0.31496062000000208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Participação da Bahia nas Exportações do Brasil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Via Marítima - em toneladas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 sz="18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</c:rich>
      </c:tx>
    </c:title>
    <c:plotArea>
      <c:layout>
        <c:manualLayout>
          <c:layoutTarget val="inner"/>
          <c:xMode val="edge"/>
          <c:yMode val="edge"/>
          <c:x val="3.9227293558002231E-2"/>
          <c:y val="0.26702585006456186"/>
          <c:w val="0.88027654093314966"/>
          <c:h val="0.58259988334791457"/>
        </c:manualLayout>
      </c:layout>
      <c:lineChart>
        <c:grouping val="standard"/>
        <c:ser>
          <c:idx val="0"/>
          <c:order val="0"/>
          <c:tx>
            <c:strRef>
              <c:f>'2014'!$A$110</c:f>
              <c:strCache>
                <c:ptCount val="1"/>
                <c:pt idx="0">
                  <c:v>BA/BR %</c:v>
                </c:pt>
              </c:strCache>
            </c:strRef>
          </c:tx>
          <c:cat>
            <c:strRef>
              <c:f>'2014'!$B$107:$M$107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'2014'!$B$110:$M$110</c:f>
              <c:numCache>
                <c:formatCode>0.0%</c:formatCode>
                <c:ptCount val="12"/>
                <c:pt idx="0">
                  <c:v>1.8472304261594262E-2</c:v>
                </c:pt>
                <c:pt idx="1">
                  <c:v>1.9351064458455206E-2</c:v>
                </c:pt>
                <c:pt idx="2">
                  <c:v>1.4804336832429882E-2</c:v>
                </c:pt>
                <c:pt idx="3">
                  <c:v>1.9730589336798582E-2</c:v>
                </c:pt>
                <c:pt idx="4">
                  <c:v>2.33601708549332E-2</c:v>
                </c:pt>
                <c:pt idx="5">
                  <c:v>1.9755486070364973E-2</c:v>
                </c:pt>
                <c:pt idx="6">
                  <c:v>2.0800561603440057E-2</c:v>
                </c:pt>
                <c:pt idx="7">
                  <c:v>1.8689082261926677E-2</c:v>
                </c:pt>
                <c:pt idx="8">
                  <c:v>2.3011573241203825E-2</c:v>
                </c:pt>
                <c:pt idx="9">
                  <c:v>1.5280438212541509E-2</c:v>
                </c:pt>
                <c:pt idx="10">
                  <c:v>1.6194742173142266E-2</c:v>
                </c:pt>
                <c:pt idx="11">
                  <c:v>1.615831314677663E-2</c:v>
                </c:pt>
              </c:numCache>
            </c:numRef>
          </c:val>
        </c:ser>
        <c:marker val="1"/>
        <c:axId val="106177280"/>
        <c:axId val="106178816"/>
      </c:lineChart>
      <c:catAx>
        <c:axId val="10617728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6178816"/>
        <c:crosses val="autoZero"/>
        <c:auto val="1"/>
        <c:lblAlgn val="ctr"/>
        <c:lblOffset val="100"/>
      </c:catAx>
      <c:valAx>
        <c:axId val="106178816"/>
        <c:scaling>
          <c:orientation val="minMax"/>
          <c:max val="3.0000000000000016E-2"/>
          <c:min val="1.0000000000000005E-2"/>
        </c:scaling>
        <c:axPos val="l"/>
        <c:majorGridlines/>
        <c:numFmt formatCode="0.0%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6177280"/>
        <c:crosses val="autoZero"/>
        <c:crossBetween val="between"/>
      </c:valAx>
    </c:plotArea>
    <c:legend>
      <c:legendPos val="r"/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385" footer="0.3149606200000038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Participação da Bahia nas Importações do Brasil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Via Marítima - em toneladas</a:t>
            </a:r>
          </a:p>
        </c:rich>
      </c:tx>
    </c:title>
    <c:plotArea>
      <c:layout>
        <c:manualLayout>
          <c:layoutTarget val="inner"/>
          <c:xMode val="edge"/>
          <c:yMode val="edge"/>
          <c:x val="2.8546223747628389E-2"/>
          <c:y val="9.7045231309276503E-2"/>
          <c:w val="0.89036587138397061"/>
          <c:h val="0.80049401800235098"/>
        </c:manualLayout>
      </c:layout>
      <c:lineChart>
        <c:grouping val="standard"/>
        <c:ser>
          <c:idx val="0"/>
          <c:order val="0"/>
          <c:tx>
            <c:strRef>
              <c:f>'2014'!$A$132</c:f>
              <c:strCache>
                <c:ptCount val="1"/>
                <c:pt idx="0">
                  <c:v>BA/BR %</c:v>
                </c:pt>
              </c:strCache>
            </c:strRef>
          </c:tx>
          <c:cat>
            <c:strRef>
              <c:f>'2014'!$B$129:$M$129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'2014'!$B$132:$M$132</c:f>
              <c:numCache>
                <c:formatCode>0.0%</c:formatCode>
                <c:ptCount val="12"/>
                <c:pt idx="0">
                  <c:v>4.1459542767538417E-2</c:v>
                </c:pt>
                <c:pt idx="1">
                  <c:v>3.3027092192260132E-2</c:v>
                </c:pt>
                <c:pt idx="2">
                  <c:v>5.7294720014667608E-2</c:v>
                </c:pt>
                <c:pt idx="3">
                  <c:v>2.4457543451292495E-2</c:v>
                </c:pt>
                <c:pt idx="4">
                  <c:v>6.0127961973258988E-2</c:v>
                </c:pt>
                <c:pt idx="5">
                  <c:v>4.2190354101106033E-2</c:v>
                </c:pt>
                <c:pt idx="6">
                  <c:v>5.2791572374151177E-2</c:v>
                </c:pt>
                <c:pt idx="7">
                  <c:v>4.4607766039659533E-2</c:v>
                </c:pt>
                <c:pt idx="8">
                  <c:v>2.8379148062200099E-2</c:v>
                </c:pt>
                <c:pt idx="9">
                  <c:v>6.687040947510707E-2</c:v>
                </c:pt>
                <c:pt idx="10">
                  <c:v>4.8823688549183224E-2</c:v>
                </c:pt>
                <c:pt idx="11">
                  <c:v>0.10303374646091894</c:v>
                </c:pt>
              </c:numCache>
            </c:numRef>
          </c:val>
        </c:ser>
        <c:marker val="1"/>
        <c:axId val="106211200"/>
        <c:axId val="106212736"/>
      </c:lineChart>
      <c:catAx>
        <c:axId val="10621120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6212736"/>
        <c:crosses val="autoZero"/>
        <c:auto val="1"/>
        <c:lblAlgn val="ctr"/>
        <c:lblOffset val="100"/>
      </c:catAx>
      <c:valAx>
        <c:axId val="106212736"/>
        <c:scaling>
          <c:orientation val="minMax"/>
          <c:max val="8.0000000000000043E-2"/>
          <c:min val="0"/>
        </c:scaling>
        <c:axPos val="l"/>
        <c:majorGridlines/>
        <c:numFmt formatCode="0%" sourceLinked="0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6211200"/>
        <c:crosses val="autoZero"/>
        <c:crossBetween val="between"/>
      </c:valAx>
    </c:plotArea>
    <c:legend>
      <c:legendPos val="r"/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385" footer="0.3149606200000038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 sz="1800"/>
              <a:t>Comércio</a:t>
            </a:r>
            <a:r>
              <a:rPr lang="pt-BR" sz="1800" baseline="0"/>
              <a:t> Exterior Baiano</a:t>
            </a:r>
          </a:p>
          <a:p>
            <a:pPr>
              <a:defRPr/>
            </a:pPr>
            <a:r>
              <a:rPr lang="pt-BR" sz="1200" b="0" baseline="0"/>
              <a:t>Cargas conteinerizadas - em toneladas</a:t>
            </a:r>
            <a:endParaRPr lang="pt-BR" sz="1200" b="0"/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'2014'!$A$61</c:f>
              <c:strCache>
                <c:ptCount val="1"/>
                <c:pt idx="0">
                  <c:v>Da Bahia</c:v>
                </c:pt>
              </c:strCache>
            </c:strRef>
          </c:tx>
          <c:cat>
            <c:numRef>
              <c:f>'2014'!$B$60:$N$60</c:f>
              <c:numCache>
                <c:formatCode>mmm/yy</c:formatCode>
                <c:ptCount val="13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</c:numCache>
            </c:numRef>
          </c:cat>
          <c:val>
            <c:numRef>
              <c:f>'2014'!$B$61:$N$61</c:f>
              <c:numCache>
                <c:formatCode>_-* #,##0_-;\-* #,##0_-;_-* "-"??_-;_-@_-</c:formatCode>
                <c:ptCount val="13"/>
                <c:pt idx="0">
                  <c:v>158421</c:v>
                </c:pt>
                <c:pt idx="1">
                  <c:v>158421</c:v>
                </c:pt>
                <c:pt idx="2">
                  <c:v>101686</c:v>
                </c:pt>
                <c:pt idx="3">
                  <c:v>213231</c:v>
                </c:pt>
                <c:pt idx="4">
                  <c:v>127813</c:v>
                </c:pt>
                <c:pt idx="5">
                  <c:v>132558.31150000001</c:v>
                </c:pt>
                <c:pt idx="6">
                  <c:v>118177.84149999991</c:v>
                </c:pt>
                <c:pt idx="7">
                  <c:v>126459.5069999999</c:v>
                </c:pt>
                <c:pt idx="8">
                  <c:v>184179.66599999997</c:v>
                </c:pt>
                <c:pt idx="9">
                  <c:v>130054</c:v>
                </c:pt>
                <c:pt idx="10">
                  <c:v>198425.46449999977</c:v>
                </c:pt>
                <c:pt idx="11">
                  <c:v>147889.36449999994</c:v>
                </c:pt>
                <c:pt idx="12">
                  <c:v>143684.29252999992</c:v>
                </c:pt>
              </c:numCache>
            </c:numRef>
          </c:val>
        </c:ser>
        <c:ser>
          <c:idx val="1"/>
          <c:order val="1"/>
          <c:tx>
            <c:strRef>
              <c:f>'2014'!$A$62</c:f>
              <c:strCache>
                <c:ptCount val="1"/>
                <c:pt idx="0">
                  <c:v>De Fora da Bahia</c:v>
                </c:pt>
              </c:strCache>
            </c:strRef>
          </c:tx>
          <c:cat>
            <c:numRef>
              <c:f>'2014'!$B$60:$N$60</c:f>
              <c:numCache>
                <c:formatCode>mmm/yy</c:formatCode>
                <c:ptCount val="13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</c:numCache>
            </c:numRef>
          </c:cat>
          <c:val>
            <c:numRef>
              <c:f>'2014'!$B$62:$N$62</c:f>
              <c:numCache>
                <c:formatCode>_-* #,##0_-;\-* #,##0_-;_-* "-"??_-;_-@_-</c:formatCode>
                <c:ptCount val="13"/>
                <c:pt idx="0">
                  <c:v>43512</c:v>
                </c:pt>
                <c:pt idx="1">
                  <c:v>43512</c:v>
                </c:pt>
                <c:pt idx="2">
                  <c:v>42574</c:v>
                </c:pt>
                <c:pt idx="3">
                  <c:v>48311</c:v>
                </c:pt>
                <c:pt idx="4">
                  <c:v>54694</c:v>
                </c:pt>
                <c:pt idx="5">
                  <c:v>44749.855000000018</c:v>
                </c:pt>
                <c:pt idx="6">
                  <c:v>66536.77800000002</c:v>
                </c:pt>
                <c:pt idx="7">
                  <c:v>51108.786000000022</c:v>
                </c:pt>
                <c:pt idx="8">
                  <c:v>44165.174000000014</c:v>
                </c:pt>
                <c:pt idx="9">
                  <c:v>79222</c:v>
                </c:pt>
                <c:pt idx="10">
                  <c:v>63582.781999999992</c:v>
                </c:pt>
                <c:pt idx="11" formatCode="#,##0">
                  <c:v>55544.688999999969</c:v>
                </c:pt>
                <c:pt idx="12" formatCode="#,##0">
                  <c:v>45821.773000000001</c:v>
                </c:pt>
              </c:numCache>
            </c:numRef>
          </c:val>
        </c:ser>
        <c:gapWidth val="75"/>
        <c:overlap val="100"/>
        <c:axId val="106228352"/>
        <c:axId val="106242432"/>
      </c:barChart>
      <c:dateAx>
        <c:axId val="106228352"/>
        <c:scaling>
          <c:orientation val="minMax"/>
        </c:scaling>
        <c:axPos val="b"/>
        <c:numFmt formatCode="mmm/yy" sourceLinked="1"/>
        <c:majorTickMark val="none"/>
        <c:tickLblPos val="nextTo"/>
        <c:crossAx val="106242432"/>
        <c:crosses val="autoZero"/>
        <c:auto val="1"/>
        <c:lblOffset val="100"/>
        <c:baseTimeUnit val="months"/>
      </c:dateAx>
      <c:valAx>
        <c:axId val="106242432"/>
        <c:scaling>
          <c:orientation val="minMax"/>
        </c:scaling>
        <c:axPos val="l"/>
        <c:majorGridlines/>
        <c:numFmt formatCode="_-* #,##0_-;\-* #,##0_-;_-* &quot;-&quot;??_-;_-@_-" sourceLinked="1"/>
        <c:majorTickMark val="none"/>
        <c:tickLblPos val="nextTo"/>
        <c:spPr>
          <a:ln w="9525">
            <a:noFill/>
          </a:ln>
        </c:spPr>
        <c:crossAx val="10622835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213" footer="0.3149606200000021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Participação</a:t>
            </a:r>
            <a:r>
              <a:rPr lang="en-US" baseline="0"/>
              <a:t> da Bahia no Comex Brasil</a:t>
            </a:r>
          </a:p>
          <a:p>
            <a:pPr>
              <a:defRPr/>
            </a:pPr>
            <a:r>
              <a:rPr lang="en-US" sz="1100" b="0" baseline="0"/>
              <a:t>Via Maritma - em tonelada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'2014'!$A$157</c:f>
              <c:strCache>
                <c:ptCount val="1"/>
                <c:pt idx="0">
                  <c:v>BA/BR %</c:v>
                </c:pt>
              </c:strCache>
            </c:strRef>
          </c:tx>
          <c:cat>
            <c:strRef>
              <c:f>'2014'!$B$154:$M$154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'2014'!$B$157:$M$157</c:f>
              <c:numCache>
                <c:formatCode>0.0%</c:formatCode>
                <c:ptCount val="12"/>
                <c:pt idx="0">
                  <c:v>2.4047296617706462E-2</c:v>
                </c:pt>
                <c:pt idx="1">
                  <c:v>2.2599521453089633E-2</c:v>
                </c:pt>
                <c:pt idx="2">
                  <c:v>2.2937467687281641E-2</c:v>
                </c:pt>
                <c:pt idx="3">
                  <c:v>2.0789227774080082E-2</c:v>
                </c:pt>
                <c:pt idx="4">
                  <c:v>3.1489376062141028E-2</c:v>
                </c:pt>
                <c:pt idx="5">
                  <c:v>2.4086312988746542E-2</c:v>
                </c:pt>
                <c:pt idx="6">
                  <c:v>2.7775922359702256E-2</c:v>
                </c:pt>
                <c:pt idx="7">
                  <c:v>2.4283581186390586E-2</c:v>
                </c:pt>
                <c:pt idx="8">
                  <c:v>2.4136817994932423E-2</c:v>
                </c:pt>
                <c:pt idx="9">
                  <c:v>2.5643758596017606E-2</c:v>
                </c:pt>
                <c:pt idx="10">
                  <c:v>2.3899899091585738E-2</c:v>
                </c:pt>
                <c:pt idx="11">
                  <c:v>3.2488150624916466E-2</c:v>
                </c:pt>
              </c:numCache>
            </c:numRef>
          </c:val>
        </c:ser>
        <c:marker val="1"/>
        <c:axId val="106262528"/>
        <c:axId val="106264064"/>
      </c:lineChart>
      <c:catAx>
        <c:axId val="106262528"/>
        <c:scaling>
          <c:orientation val="minMax"/>
        </c:scaling>
        <c:axPos val="b"/>
        <c:majorTickMark val="none"/>
        <c:tickLblPos val="nextTo"/>
        <c:crossAx val="106264064"/>
        <c:crosses val="autoZero"/>
        <c:auto val="1"/>
        <c:lblAlgn val="ctr"/>
        <c:lblOffset val="100"/>
      </c:catAx>
      <c:valAx>
        <c:axId val="106264064"/>
        <c:scaling>
          <c:orientation val="minMax"/>
        </c:scaling>
        <c:axPos val="l"/>
        <c:majorGridlines/>
        <c:title/>
        <c:numFmt formatCode="0.0%" sourceLinked="1"/>
        <c:majorTickMark val="none"/>
        <c:tickLblPos val="nextTo"/>
        <c:crossAx val="10626252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208" footer="0.31496062000000208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/>
              <a:t>Movimentação de Cargas Gerais - Via Marítima </a:t>
            </a:r>
          </a:p>
          <a:p>
            <a:pPr>
              <a:defRPr/>
            </a:pPr>
            <a:r>
              <a:rPr lang="pt-BR"/>
              <a:t>em toneladas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'2015'!$A$7</c:f>
              <c:strCache>
                <c:ptCount val="1"/>
                <c:pt idx="0">
                  <c:v>Da Bahia</c:v>
                </c:pt>
              </c:strCache>
            </c:strRef>
          </c:tx>
          <c:cat>
            <c:strRef>
              <c:f>'2015'!$B$5:$M$5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'2015'!$B$7:$M$7</c:f>
              <c:numCache>
                <c:formatCode>_-* #,##0_-;\-* #,##0_-;_-* "-"??_-;_-@_-</c:formatCode>
                <c:ptCount val="12"/>
                <c:pt idx="0">
                  <c:v>1238816.8710000003</c:v>
                </c:pt>
                <c:pt idx="1">
                  <c:v>1136703.4770000004</c:v>
                </c:pt>
                <c:pt idx="2">
                  <c:v>1203669.3789999997</c:v>
                </c:pt>
                <c:pt idx="3">
                  <c:v>1381633.8159999999</c:v>
                </c:pt>
                <c:pt idx="4">
                  <c:v>1216661.0329999998</c:v>
                </c:pt>
                <c:pt idx="5">
                  <c:v>1322786.058</c:v>
                </c:pt>
                <c:pt idx="6">
                  <c:v>1738199.487</c:v>
                </c:pt>
                <c:pt idx="7">
                  <c:v>1133414.233</c:v>
                </c:pt>
                <c:pt idx="8">
                  <c:v>1604771.6689999998</c:v>
                </c:pt>
                <c:pt idx="9">
                  <c:v>1683894.1799999997</c:v>
                </c:pt>
                <c:pt idx="10">
                  <c:v>1200671.4149999998</c:v>
                </c:pt>
                <c:pt idx="11" formatCode="#,##0">
                  <c:v>1393923.6249999998</c:v>
                </c:pt>
              </c:numCache>
            </c:numRef>
          </c:val>
        </c:ser>
        <c:ser>
          <c:idx val="1"/>
          <c:order val="1"/>
          <c:tx>
            <c:strRef>
              <c:f>'2015'!$A$8</c:f>
              <c:strCache>
                <c:ptCount val="1"/>
                <c:pt idx="0">
                  <c:v>De Fora da Bahia</c:v>
                </c:pt>
              </c:strCache>
            </c:strRef>
          </c:tx>
          <c:cat>
            <c:strRef>
              <c:f>'2015'!$B$5:$M$5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'2015'!$B$8:$M$8</c:f>
              <c:numCache>
                <c:formatCode>_-* #,##0_-;\-* #,##0_-;_-* "-"??_-;_-@_-</c:formatCode>
                <c:ptCount val="12"/>
                <c:pt idx="0">
                  <c:v>291590.51200000005</c:v>
                </c:pt>
                <c:pt idx="1">
                  <c:v>313260.15500000009</c:v>
                </c:pt>
                <c:pt idx="2">
                  <c:v>302191.90399999998</c:v>
                </c:pt>
                <c:pt idx="3">
                  <c:v>284475.14100000006</c:v>
                </c:pt>
                <c:pt idx="4">
                  <c:v>209169.79499999998</c:v>
                </c:pt>
                <c:pt idx="5">
                  <c:v>309877.12699999986</c:v>
                </c:pt>
                <c:pt idx="6">
                  <c:v>325781.97799999994</c:v>
                </c:pt>
                <c:pt idx="7">
                  <c:v>260377.97099999999</c:v>
                </c:pt>
                <c:pt idx="8">
                  <c:v>559846.20299999998</c:v>
                </c:pt>
                <c:pt idx="9">
                  <c:v>456411.06499999994</c:v>
                </c:pt>
                <c:pt idx="10">
                  <c:v>272239.3349999999</c:v>
                </c:pt>
                <c:pt idx="11" formatCode="#,##0">
                  <c:v>374052.73900000006</c:v>
                </c:pt>
              </c:numCache>
            </c:numRef>
          </c:val>
        </c:ser>
        <c:overlap val="100"/>
        <c:axId val="106106880"/>
        <c:axId val="106108416"/>
      </c:barChart>
      <c:catAx>
        <c:axId val="10610688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06108416"/>
        <c:crosses val="autoZero"/>
        <c:auto val="1"/>
        <c:lblAlgn val="ctr"/>
        <c:lblOffset val="100"/>
      </c:catAx>
      <c:valAx>
        <c:axId val="106108416"/>
        <c:scaling>
          <c:orientation val="minMax"/>
          <c:max val="2500000"/>
        </c:scaling>
        <c:axPos val="l"/>
        <c:majorGridlines/>
        <c:numFmt formatCode="_-* #,##0_-;\-* #,##0_-;_-* &quot;-&quot;??_-;_-@_-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0610688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602" footer="0.3149606200000060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/>
              <a:t>Movimentação de Cargas Conteinerizadas - Via Marítima</a:t>
            </a:r>
          </a:p>
          <a:p>
            <a:pPr>
              <a:defRPr/>
            </a:pPr>
            <a:r>
              <a:rPr lang="pt-BR"/>
              <a:t>em toneladas 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'2015'!$A$34</c:f>
              <c:strCache>
                <c:ptCount val="1"/>
                <c:pt idx="0">
                  <c:v>Da Bahia</c:v>
                </c:pt>
              </c:strCache>
            </c:strRef>
          </c:tx>
          <c:cat>
            <c:strRef>
              <c:f>'2015'!$B$32:$M$32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'2015'!$B$34:$M$34</c:f>
              <c:numCache>
                <c:formatCode>_-* #,##0_-;\-* #,##0_-;_-* "-"??_-;_-@_-</c:formatCode>
                <c:ptCount val="12"/>
                <c:pt idx="0">
                  <c:v>100747.64200000001</c:v>
                </c:pt>
                <c:pt idx="1">
                  <c:v>154146.41199999995</c:v>
                </c:pt>
                <c:pt idx="2">
                  <c:v>135422.50269999995</c:v>
                </c:pt>
                <c:pt idx="3">
                  <c:v>187943.06170000014</c:v>
                </c:pt>
                <c:pt idx="4">
                  <c:v>155370.58459999986</c:v>
                </c:pt>
                <c:pt idx="5">
                  <c:v>129618.88209999999</c:v>
                </c:pt>
                <c:pt idx="6">
                  <c:v>248937.73829999976</c:v>
                </c:pt>
                <c:pt idx="7">
                  <c:v>162717.33209999991</c:v>
                </c:pt>
                <c:pt idx="8">
                  <c:v>143002.88889999993</c:v>
                </c:pt>
                <c:pt idx="9">
                  <c:v>133566.32619999992</c:v>
                </c:pt>
                <c:pt idx="10">
                  <c:v>147310.12399999992</c:v>
                </c:pt>
                <c:pt idx="11" formatCode="#,##0">
                  <c:v>129568.62099999996</c:v>
                </c:pt>
              </c:numCache>
            </c:numRef>
          </c:val>
        </c:ser>
        <c:ser>
          <c:idx val="1"/>
          <c:order val="1"/>
          <c:tx>
            <c:strRef>
              <c:f>'2015'!$A$35</c:f>
              <c:strCache>
                <c:ptCount val="1"/>
                <c:pt idx="0">
                  <c:v>De Fora da Bahia</c:v>
                </c:pt>
              </c:strCache>
            </c:strRef>
          </c:tx>
          <c:cat>
            <c:strRef>
              <c:f>'2015'!$B$32:$M$32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'2015'!$B$35:$M$35</c:f>
              <c:numCache>
                <c:formatCode>_-* #,##0_-;\-* #,##0_-;_-* "-"??_-;_-@_-</c:formatCode>
                <c:ptCount val="12"/>
                <c:pt idx="0">
                  <c:v>44676.427000000011</c:v>
                </c:pt>
                <c:pt idx="1">
                  <c:v>32880.315000000017</c:v>
                </c:pt>
                <c:pt idx="2">
                  <c:v>72404.233999999997</c:v>
                </c:pt>
                <c:pt idx="3">
                  <c:v>56912.89000000005</c:v>
                </c:pt>
                <c:pt idx="4">
                  <c:v>54228.343000000001</c:v>
                </c:pt>
                <c:pt idx="5">
                  <c:v>105585.32499999984</c:v>
                </c:pt>
                <c:pt idx="6">
                  <c:v>89305.208999999944</c:v>
                </c:pt>
                <c:pt idx="7">
                  <c:v>59110.964000000007</c:v>
                </c:pt>
                <c:pt idx="8">
                  <c:v>127669.21000000002</c:v>
                </c:pt>
                <c:pt idx="9">
                  <c:v>112818.47599999992</c:v>
                </c:pt>
                <c:pt idx="10" formatCode="#,##0">
                  <c:v>66607.451999999961</c:v>
                </c:pt>
                <c:pt idx="11" formatCode="#,##0">
                  <c:v>45524.175000000003</c:v>
                </c:pt>
              </c:numCache>
            </c:numRef>
          </c:val>
        </c:ser>
        <c:overlap val="100"/>
        <c:axId val="106141568"/>
        <c:axId val="106143104"/>
      </c:barChart>
      <c:catAx>
        <c:axId val="10614156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06143104"/>
        <c:crosses val="autoZero"/>
        <c:auto val="1"/>
        <c:lblAlgn val="ctr"/>
        <c:lblOffset val="100"/>
      </c:catAx>
      <c:valAx>
        <c:axId val="106143104"/>
        <c:scaling>
          <c:orientation val="minMax"/>
        </c:scaling>
        <c:axPos val="l"/>
        <c:majorGridlines/>
        <c:numFmt formatCode="_-* #,##0_-;\-* #,##0_-;_-* &quot;-&quot;??_-;_-@_-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0614156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602" footer="0.3149606200000060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Evolução do Comex Baiano - 2015 - Via Marítima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em toneladas</a:t>
            </a:r>
          </a:p>
        </c:rich>
      </c:tx>
    </c:title>
    <c:plotArea>
      <c:layout>
        <c:manualLayout>
          <c:layoutTarget val="inner"/>
          <c:xMode val="edge"/>
          <c:yMode val="edge"/>
          <c:x val="6.5666498608334234E-2"/>
          <c:y val="0.22119607930364518"/>
          <c:w val="0.8369819159941827"/>
          <c:h val="0.69198036686092157"/>
        </c:manualLayout>
      </c:layout>
      <c:lineChart>
        <c:grouping val="standard"/>
        <c:ser>
          <c:idx val="0"/>
          <c:order val="0"/>
          <c:tx>
            <c:strRef>
              <c:f>'2015'!$A$85</c:f>
              <c:strCache>
                <c:ptCount val="1"/>
                <c:pt idx="0">
                  <c:v>Importação</c:v>
                </c:pt>
              </c:strCache>
            </c:strRef>
          </c:tx>
          <c:cat>
            <c:strRef>
              <c:f>'2015'!$B$83:$M$83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'2015'!$B$85:$M$85</c:f>
              <c:numCache>
                <c:formatCode>_-* #,##0_-;\-* #,##0_-;_-* "-"??_-;_-@_-</c:formatCode>
                <c:ptCount val="12"/>
                <c:pt idx="0">
                  <c:v>786513.39700000011</c:v>
                </c:pt>
                <c:pt idx="1">
                  <c:v>825005.6530000004</c:v>
                </c:pt>
                <c:pt idx="2">
                  <c:v>912489.47599999967</c:v>
                </c:pt>
                <c:pt idx="3">
                  <c:v>820127.41399999999</c:v>
                </c:pt>
                <c:pt idx="4">
                  <c:v>576876.1399999999</c:v>
                </c:pt>
                <c:pt idx="5">
                  <c:v>740235.69799999974</c:v>
                </c:pt>
                <c:pt idx="6">
                  <c:v>757451.66299999971</c:v>
                </c:pt>
                <c:pt idx="7">
                  <c:v>321964.90899999993</c:v>
                </c:pt>
                <c:pt idx="8">
                  <c:v>888416.85699999984</c:v>
                </c:pt>
                <c:pt idx="9">
                  <c:v>877800.1529999997</c:v>
                </c:pt>
                <c:pt idx="10" formatCode="#,##0">
                  <c:v>700563.35100000002</c:v>
                </c:pt>
                <c:pt idx="11" formatCode="#,##0">
                  <c:v>861163.44299999974</c:v>
                </c:pt>
              </c:numCache>
            </c:numRef>
          </c:val>
        </c:ser>
        <c:ser>
          <c:idx val="1"/>
          <c:order val="1"/>
          <c:tx>
            <c:strRef>
              <c:f>'2015'!$A$86</c:f>
              <c:strCache>
                <c:ptCount val="1"/>
                <c:pt idx="0">
                  <c:v>Exportação</c:v>
                </c:pt>
              </c:strCache>
            </c:strRef>
          </c:tx>
          <c:cat>
            <c:strRef>
              <c:f>'2015'!$B$83:$M$83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'2015'!$B$86:$M$86</c:f>
              <c:numCache>
                <c:formatCode>_-* #,##0_-;\-* #,##0_-;_-* "-"??_-;_-@_-</c:formatCode>
                <c:ptCount val="12"/>
                <c:pt idx="0">
                  <c:v>743893.98600000027</c:v>
                </c:pt>
                <c:pt idx="1">
                  <c:v>624957.97900000005</c:v>
                </c:pt>
                <c:pt idx="2">
                  <c:v>593371.80700000003</c:v>
                </c:pt>
                <c:pt idx="3">
                  <c:v>845981.54299999995</c:v>
                </c:pt>
                <c:pt idx="4">
                  <c:v>848954.68800000008</c:v>
                </c:pt>
                <c:pt idx="5">
                  <c:v>892427.48700000008</c:v>
                </c:pt>
                <c:pt idx="6">
                  <c:v>1306529.8020000001</c:v>
                </c:pt>
                <c:pt idx="7">
                  <c:v>1071827.2950000002</c:v>
                </c:pt>
                <c:pt idx="8">
                  <c:v>1276201.0149999999</c:v>
                </c:pt>
                <c:pt idx="9">
                  <c:v>1262505.0920000002</c:v>
                </c:pt>
                <c:pt idx="10" formatCode="#,##0">
                  <c:v>772347.39899999974</c:v>
                </c:pt>
                <c:pt idx="11" formatCode="#,##0">
                  <c:v>906812.92099999986</c:v>
                </c:pt>
              </c:numCache>
            </c:numRef>
          </c:val>
        </c:ser>
        <c:marker val="1"/>
        <c:axId val="106520576"/>
        <c:axId val="106522112"/>
      </c:lineChart>
      <c:catAx>
        <c:axId val="1065205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6522112"/>
        <c:crosses val="autoZero"/>
        <c:auto val="1"/>
        <c:lblAlgn val="ctr"/>
        <c:lblOffset val="100"/>
      </c:catAx>
      <c:valAx>
        <c:axId val="106522112"/>
        <c:scaling>
          <c:orientation val="minMax"/>
        </c:scaling>
        <c:axPos val="l"/>
        <c:majorGridlines/>
        <c:numFmt formatCode="_-* #,##0_-;\-* #,##0_-;_-* &quot;-&quot;??_-;_-@_-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6520576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385" footer="0.3149606200000038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Participação da Bahia nas Exportações do Brasil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Via Marítima - em toneladas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 sz="18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</c:rich>
      </c:tx>
    </c:title>
    <c:plotArea>
      <c:layout>
        <c:manualLayout>
          <c:layoutTarget val="inner"/>
          <c:xMode val="edge"/>
          <c:yMode val="edge"/>
          <c:x val="3.9227293558002231E-2"/>
          <c:y val="0.26702585006456186"/>
          <c:w val="0.88027654093314966"/>
          <c:h val="0.58259988334791457"/>
        </c:manualLayout>
      </c:layout>
      <c:lineChart>
        <c:grouping val="standard"/>
        <c:ser>
          <c:idx val="0"/>
          <c:order val="0"/>
          <c:tx>
            <c:strRef>
              <c:f>'2015'!$A$110</c:f>
              <c:strCache>
                <c:ptCount val="1"/>
                <c:pt idx="0">
                  <c:v>BA/BR %</c:v>
                </c:pt>
              </c:strCache>
            </c:strRef>
          </c:tx>
          <c:cat>
            <c:strRef>
              <c:f>'2015'!$B$107:$M$107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'2015'!$B$110:$M$110</c:f>
              <c:numCache>
                <c:formatCode>0.0%</c:formatCode>
                <c:ptCount val="12"/>
                <c:pt idx="0">
                  <c:v>1.8520342709982832E-2</c:v>
                </c:pt>
                <c:pt idx="1">
                  <c:v>1.671694543310184E-2</c:v>
                </c:pt>
                <c:pt idx="2">
                  <c:v>1.1842258493981432E-2</c:v>
                </c:pt>
                <c:pt idx="3">
                  <c:v>1.8102905083794984E-2</c:v>
                </c:pt>
                <c:pt idx="4">
                  <c:v>1.6906462801202286E-2</c:v>
                </c:pt>
                <c:pt idx="5">
                  <c:v>1.5629009118137634E-2</c:v>
                </c:pt>
                <c:pt idx="6">
                  <c:v>2.2322752401514611E-2</c:v>
                </c:pt>
                <c:pt idx="7">
                  <c:v>1.8312735987227147E-2</c:v>
                </c:pt>
                <c:pt idx="8">
                  <c:v>2.2660201336436498E-2</c:v>
                </c:pt>
                <c:pt idx="9">
                  <c:v>2.1944549107383252E-2</c:v>
                </c:pt>
                <c:pt idx="10">
                  <c:v>1.6447452907501266E-2</c:v>
                </c:pt>
                <c:pt idx="11">
                  <c:v>1.4521136264587965E-2</c:v>
                </c:pt>
              </c:numCache>
            </c:numRef>
          </c:val>
        </c:ser>
        <c:marker val="1"/>
        <c:axId val="106558592"/>
        <c:axId val="106560128"/>
      </c:lineChart>
      <c:catAx>
        <c:axId val="10655859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6560128"/>
        <c:crosses val="autoZero"/>
        <c:auto val="1"/>
        <c:lblAlgn val="ctr"/>
        <c:lblOffset val="100"/>
      </c:catAx>
      <c:valAx>
        <c:axId val="106560128"/>
        <c:scaling>
          <c:orientation val="minMax"/>
          <c:max val="3.0000000000000016E-2"/>
          <c:min val="1.0000000000000005E-2"/>
        </c:scaling>
        <c:axPos val="l"/>
        <c:majorGridlines/>
        <c:numFmt formatCode="0.0%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6558592"/>
        <c:crosses val="autoZero"/>
        <c:crossBetween val="between"/>
      </c:valAx>
    </c:plotArea>
    <c:legend>
      <c:legendPos val="r"/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385" footer="0.3149606200000038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Participação da Bahia nas Importações do Brasil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Via Marítima - em toneladas</a:t>
            </a:r>
          </a:p>
        </c:rich>
      </c:tx>
    </c:title>
    <c:plotArea>
      <c:layout>
        <c:manualLayout>
          <c:layoutTarget val="inner"/>
          <c:xMode val="edge"/>
          <c:yMode val="edge"/>
          <c:x val="2.8546223747628389E-2"/>
          <c:y val="0.187889658444758"/>
          <c:w val="0.89036585030729742"/>
          <c:h val="0.70964943183410734"/>
        </c:manualLayout>
      </c:layout>
      <c:lineChart>
        <c:grouping val="standard"/>
        <c:ser>
          <c:idx val="0"/>
          <c:order val="0"/>
          <c:tx>
            <c:strRef>
              <c:f>'2015'!$A$132</c:f>
              <c:strCache>
                <c:ptCount val="1"/>
                <c:pt idx="0">
                  <c:v>BA/BR %</c:v>
                </c:pt>
              </c:strCache>
            </c:strRef>
          </c:tx>
          <c:cat>
            <c:strRef>
              <c:f>'2015'!$B$129:$M$129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'2015'!$B$132:$M$132</c:f>
              <c:numCache>
                <c:formatCode>0.0%</c:formatCode>
                <c:ptCount val="12"/>
                <c:pt idx="0">
                  <c:v>6.8678320423980199E-2</c:v>
                </c:pt>
                <c:pt idx="1">
                  <c:v>7.5524875450133408E-2</c:v>
                </c:pt>
                <c:pt idx="2">
                  <c:v>7.5057906228237228E-2</c:v>
                </c:pt>
                <c:pt idx="3">
                  <c:v>7.6379607440261524E-2</c:v>
                </c:pt>
                <c:pt idx="4">
                  <c:v>5.2864724605821249E-2</c:v>
                </c:pt>
                <c:pt idx="5">
                  <c:v>6.2112846472787232E-2</c:v>
                </c:pt>
                <c:pt idx="6">
                  <c:v>6.2269931267213217E-2</c:v>
                </c:pt>
                <c:pt idx="7">
                  <c:v>2.6468662930223919E-2</c:v>
                </c:pt>
                <c:pt idx="8">
                  <c:v>8.7163698832981876E-2</c:v>
                </c:pt>
                <c:pt idx="9">
                  <c:v>7.2406466754508389E-2</c:v>
                </c:pt>
                <c:pt idx="10">
                  <c:v>5.9620313886200538E-2</c:v>
                </c:pt>
                <c:pt idx="11">
                  <c:v>9.2409194265922034E-2</c:v>
                </c:pt>
              </c:numCache>
            </c:numRef>
          </c:val>
        </c:ser>
        <c:marker val="1"/>
        <c:axId val="106539264"/>
        <c:axId val="106594304"/>
      </c:lineChart>
      <c:catAx>
        <c:axId val="10653926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6594304"/>
        <c:crosses val="autoZero"/>
        <c:auto val="1"/>
        <c:lblAlgn val="ctr"/>
        <c:lblOffset val="100"/>
      </c:catAx>
      <c:valAx>
        <c:axId val="106594304"/>
        <c:scaling>
          <c:orientation val="minMax"/>
          <c:min val="0"/>
        </c:scaling>
        <c:axPos val="l"/>
        <c:majorGridlines/>
        <c:numFmt formatCode="0%" sourceLinked="0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06539264"/>
        <c:crosses val="autoZero"/>
        <c:crossBetween val="between"/>
      </c:valAx>
    </c:plotArea>
    <c:legend>
      <c:legendPos val="r"/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385" footer="0.3149606200000038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 sz="1800"/>
              <a:t>Comércio</a:t>
            </a:r>
            <a:r>
              <a:rPr lang="pt-BR" sz="1800" baseline="0"/>
              <a:t> Exterior Baiano</a:t>
            </a:r>
          </a:p>
          <a:p>
            <a:pPr>
              <a:defRPr/>
            </a:pPr>
            <a:r>
              <a:rPr lang="pt-BR" sz="1200" b="0" baseline="0"/>
              <a:t>Cargas conteinerizadas - em toneladas</a:t>
            </a:r>
            <a:endParaRPr lang="pt-BR" sz="1200" b="0"/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'2015'!$A$61</c:f>
              <c:strCache>
                <c:ptCount val="1"/>
                <c:pt idx="0">
                  <c:v>Da Bahia</c:v>
                </c:pt>
              </c:strCache>
            </c:strRef>
          </c:tx>
          <c:cat>
            <c:numRef>
              <c:f>'2015'!$B$60:$N$60</c:f>
              <c:numCache>
                <c:formatCode>mmm/yy</c:formatCode>
                <c:ptCount val="13"/>
                <c:pt idx="0">
                  <c:v>41974</c:v>
                </c:pt>
                <c:pt idx="1">
                  <c:v>42005</c:v>
                </c:pt>
                <c:pt idx="2">
                  <c:v>42036</c:v>
                </c:pt>
                <c:pt idx="3">
                  <c:v>42064</c:v>
                </c:pt>
                <c:pt idx="4">
                  <c:v>42095</c:v>
                </c:pt>
                <c:pt idx="5">
                  <c:v>42125</c:v>
                </c:pt>
                <c:pt idx="6">
                  <c:v>42156</c:v>
                </c:pt>
                <c:pt idx="7">
                  <c:v>42186</c:v>
                </c:pt>
                <c:pt idx="8">
                  <c:v>42217</c:v>
                </c:pt>
                <c:pt idx="9">
                  <c:v>42248</c:v>
                </c:pt>
                <c:pt idx="10">
                  <c:v>42278</c:v>
                </c:pt>
                <c:pt idx="11">
                  <c:v>42309</c:v>
                </c:pt>
                <c:pt idx="12">
                  <c:v>42339</c:v>
                </c:pt>
              </c:numCache>
            </c:numRef>
          </c:cat>
          <c:val>
            <c:numRef>
              <c:f>'2015'!$B$61:$N$61</c:f>
              <c:numCache>
                <c:formatCode>_-* #,##0_-;\-* #,##0_-;_-* "-"??_-;_-@_-</c:formatCode>
                <c:ptCount val="13"/>
                <c:pt idx="0">
                  <c:v>143684.29252999992</c:v>
                </c:pt>
                <c:pt idx="1">
                  <c:v>100747.64200000001</c:v>
                </c:pt>
                <c:pt idx="2">
                  <c:v>154146.41199999995</c:v>
                </c:pt>
                <c:pt idx="3">
                  <c:v>135422.50269999995</c:v>
                </c:pt>
                <c:pt idx="4">
                  <c:v>187943.06170000014</c:v>
                </c:pt>
                <c:pt idx="5">
                  <c:v>155370.58459999986</c:v>
                </c:pt>
                <c:pt idx="6">
                  <c:v>129618.88209999999</c:v>
                </c:pt>
                <c:pt idx="7">
                  <c:v>248937.73829999976</c:v>
                </c:pt>
                <c:pt idx="8">
                  <c:v>162717.33209999991</c:v>
                </c:pt>
                <c:pt idx="9">
                  <c:v>143002.88889999993</c:v>
                </c:pt>
                <c:pt idx="10">
                  <c:v>133566.32619999992</c:v>
                </c:pt>
                <c:pt idx="11">
                  <c:v>147310.12399999992</c:v>
                </c:pt>
                <c:pt idx="12">
                  <c:v>129568.62099999996</c:v>
                </c:pt>
              </c:numCache>
            </c:numRef>
          </c:val>
        </c:ser>
        <c:ser>
          <c:idx val="1"/>
          <c:order val="1"/>
          <c:tx>
            <c:strRef>
              <c:f>'2015'!$A$62</c:f>
              <c:strCache>
                <c:ptCount val="1"/>
                <c:pt idx="0">
                  <c:v>De Fora da Bahia</c:v>
                </c:pt>
              </c:strCache>
            </c:strRef>
          </c:tx>
          <c:cat>
            <c:numRef>
              <c:f>'2015'!$B$60:$N$60</c:f>
              <c:numCache>
                <c:formatCode>mmm/yy</c:formatCode>
                <c:ptCount val="13"/>
                <c:pt idx="0">
                  <c:v>41974</c:v>
                </c:pt>
                <c:pt idx="1">
                  <c:v>42005</c:v>
                </c:pt>
                <c:pt idx="2">
                  <c:v>42036</c:v>
                </c:pt>
                <c:pt idx="3">
                  <c:v>42064</c:v>
                </c:pt>
                <c:pt idx="4">
                  <c:v>42095</c:v>
                </c:pt>
                <c:pt idx="5">
                  <c:v>42125</c:v>
                </c:pt>
                <c:pt idx="6">
                  <c:v>42156</c:v>
                </c:pt>
                <c:pt idx="7">
                  <c:v>42186</c:v>
                </c:pt>
                <c:pt idx="8">
                  <c:v>42217</c:v>
                </c:pt>
                <c:pt idx="9">
                  <c:v>42248</c:v>
                </c:pt>
                <c:pt idx="10">
                  <c:v>42278</c:v>
                </c:pt>
                <c:pt idx="11">
                  <c:v>42309</c:v>
                </c:pt>
                <c:pt idx="12">
                  <c:v>42339</c:v>
                </c:pt>
              </c:numCache>
            </c:numRef>
          </c:cat>
          <c:val>
            <c:numRef>
              <c:f>'2015'!$B$62:$N$62</c:f>
              <c:numCache>
                <c:formatCode>#,##0</c:formatCode>
                <c:ptCount val="13"/>
                <c:pt idx="0" formatCode="_-* #,##0_-;\-* #,##0_-;_-* &quot;-&quot;??_-;_-@_-">
                  <c:v>45821.773000000001</c:v>
                </c:pt>
                <c:pt idx="1">
                  <c:v>44676.427000000011</c:v>
                </c:pt>
                <c:pt idx="2">
                  <c:v>32880.315000000017</c:v>
                </c:pt>
                <c:pt idx="3" formatCode="_-* #,##0_-;\-* #,##0_-;_-* &quot;-&quot;??_-;_-@_-">
                  <c:v>72404.233999999997</c:v>
                </c:pt>
                <c:pt idx="4">
                  <c:v>56912.89000000005</c:v>
                </c:pt>
                <c:pt idx="5">
                  <c:v>54228.343000000001</c:v>
                </c:pt>
                <c:pt idx="6">
                  <c:v>105585.32499999984</c:v>
                </c:pt>
                <c:pt idx="7">
                  <c:v>89305.208999999944</c:v>
                </c:pt>
                <c:pt idx="8">
                  <c:v>59110.964000000007</c:v>
                </c:pt>
                <c:pt idx="9" formatCode="_-* #,##0_-;\-* #,##0_-;_-* &quot;-&quot;??_-;_-@_-">
                  <c:v>127669.21000000002</c:v>
                </c:pt>
                <c:pt idx="10" formatCode="_-* #,##0_-;\-* #,##0_-;_-* &quot;-&quot;??_-;_-@_-">
                  <c:v>112818.47599999992</c:v>
                </c:pt>
                <c:pt idx="11" formatCode="_-* #,##0_-;\-* #,##0_-;_-* &quot;-&quot;??_-;_-@_-">
                  <c:v>66607.451999999961</c:v>
                </c:pt>
                <c:pt idx="12" formatCode="_-* #,##0_-;\-* #,##0_-;_-* &quot;-&quot;??_-;_-@_-">
                  <c:v>45524.175000000003</c:v>
                </c:pt>
              </c:numCache>
            </c:numRef>
          </c:val>
        </c:ser>
        <c:gapWidth val="75"/>
        <c:overlap val="100"/>
        <c:axId val="106613760"/>
        <c:axId val="106623744"/>
      </c:barChart>
      <c:dateAx>
        <c:axId val="106613760"/>
        <c:scaling>
          <c:orientation val="minMax"/>
        </c:scaling>
        <c:axPos val="b"/>
        <c:numFmt formatCode="mmm/yy" sourceLinked="1"/>
        <c:majorTickMark val="none"/>
        <c:tickLblPos val="nextTo"/>
        <c:crossAx val="106623744"/>
        <c:crosses val="autoZero"/>
        <c:auto val="1"/>
        <c:lblOffset val="100"/>
        <c:baseTimeUnit val="months"/>
      </c:dateAx>
      <c:valAx>
        <c:axId val="106623744"/>
        <c:scaling>
          <c:orientation val="minMax"/>
        </c:scaling>
        <c:axPos val="l"/>
        <c:majorGridlines/>
        <c:numFmt formatCode="_-* #,##0_-;\-* #,##0_-;_-* &quot;-&quot;??_-;_-@_-" sourceLinked="1"/>
        <c:majorTickMark val="none"/>
        <c:tickLblPos val="nextTo"/>
        <c:spPr>
          <a:ln w="9525">
            <a:noFill/>
          </a:ln>
        </c:spPr>
        <c:crossAx val="10661376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213" footer="0.3149606200000021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/>
              <a:t>Movimentação de Cargas por Via Marítima</a:t>
            </a:r>
          </a:p>
          <a:p>
            <a:pPr>
              <a:defRPr/>
            </a:pPr>
            <a:r>
              <a:rPr lang="pt-BR"/>
              <a:t>Em toneladas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v>Bahia</c:v>
          </c:tx>
          <c:cat>
            <c:strRef>
              <c:f>'2010'!$B$5:$M$5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'2010'!$B$7:$M$7</c:f>
              <c:numCache>
                <c:formatCode>_-* #,##0_-;\-* #,##0_-;_-* "-"??_-;_-@_-</c:formatCode>
                <c:ptCount val="12"/>
                <c:pt idx="0">
                  <c:v>1234842</c:v>
                </c:pt>
                <c:pt idx="1">
                  <c:v>771776</c:v>
                </c:pt>
                <c:pt idx="2">
                  <c:v>1003708</c:v>
                </c:pt>
                <c:pt idx="3">
                  <c:v>1019013</c:v>
                </c:pt>
                <c:pt idx="4">
                  <c:v>1193948</c:v>
                </c:pt>
                <c:pt idx="5">
                  <c:v>1097453</c:v>
                </c:pt>
                <c:pt idx="6">
                  <c:v>1134775</c:v>
                </c:pt>
                <c:pt idx="7">
                  <c:v>1228344</c:v>
                </c:pt>
                <c:pt idx="8">
                  <c:v>1238292</c:v>
                </c:pt>
                <c:pt idx="9">
                  <c:v>801382</c:v>
                </c:pt>
                <c:pt idx="10">
                  <c:v>897993</c:v>
                </c:pt>
                <c:pt idx="11">
                  <c:v>823304</c:v>
                </c:pt>
              </c:numCache>
            </c:numRef>
          </c:val>
        </c:ser>
        <c:ser>
          <c:idx val="1"/>
          <c:order val="1"/>
          <c:tx>
            <c:v>Outros Estados</c:v>
          </c:tx>
          <c:cat>
            <c:strRef>
              <c:f>'2010'!$B$5:$M$5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'2010'!$B$8:$M$8</c:f>
              <c:numCache>
                <c:formatCode>_-* #,##0_-;\-* #,##0_-;_-* "-"??_-;_-@_-</c:formatCode>
                <c:ptCount val="12"/>
                <c:pt idx="0">
                  <c:v>260915</c:v>
                </c:pt>
                <c:pt idx="1">
                  <c:v>200068</c:v>
                </c:pt>
                <c:pt idx="2">
                  <c:v>306423</c:v>
                </c:pt>
                <c:pt idx="3">
                  <c:v>225915</c:v>
                </c:pt>
                <c:pt idx="4">
                  <c:v>250982</c:v>
                </c:pt>
                <c:pt idx="5">
                  <c:v>320056</c:v>
                </c:pt>
                <c:pt idx="6">
                  <c:v>332458</c:v>
                </c:pt>
                <c:pt idx="7">
                  <c:v>354441</c:v>
                </c:pt>
                <c:pt idx="8">
                  <c:v>425283</c:v>
                </c:pt>
                <c:pt idx="9">
                  <c:v>398172</c:v>
                </c:pt>
                <c:pt idx="10">
                  <c:v>253298</c:v>
                </c:pt>
                <c:pt idx="11">
                  <c:v>284363</c:v>
                </c:pt>
              </c:numCache>
            </c:numRef>
          </c:val>
        </c:ser>
        <c:gapWidth val="55"/>
        <c:overlap val="100"/>
        <c:axId val="74520448"/>
        <c:axId val="74521984"/>
      </c:barChart>
      <c:catAx>
        <c:axId val="7452044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74521984"/>
        <c:crosses val="autoZero"/>
        <c:auto val="1"/>
        <c:lblAlgn val="ctr"/>
        <c:lblOffset val="100"/>
      </c:catAx>
      <c:valAx>
        <c:axId val="74521984"/>
        <c:scaling>
          <c:orientation val="minMax"/>
        </c:scaling>
        <c:axPos val="l"/>
        <c:majorGridlines/>
        <c:numFmt formatCode="_-* #,##0_-;\-* #,##0_-;_-* &quot;-&quot;??_-;_-@_-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7452044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602" footer="0.3149606200000060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Participação</a:t>
            </a:r>
            <a:r>
              <a:rPr lang="en-US" baseline="0"/>
              <a:t> da Bahia no Comex Brasil</a:t>
            </a:r>
          </a:p>
          <a:p>
            <a:pPr>
              <a:defRPr/>
            </a:pPr>
            <a:r>
              <a:rPr lang="en-US" sz="1100" b="0" baseline="0"/>
              <a:t>Via Maritma - em tonelada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'2015'!$A$157</c:f>
              <c:strCache>
                <c:ptCount val="1"/>
                <c:pt idx="0">
                  <c:v>BA/BR %</c:v>
                </c:pt>
              </c:strCache>
            </c:strRef>
          </c:tx>
          <c:cat>
            <c:strRef>
              <c:f>'2015'!$B$154:$M$154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'2015'!$B$157:$M$157</c:f>
              <c:numCache>
                <c:formatCode>0.0%</c:formatCode>
                <c:ptCount val="12"/>
                <c:pt idx="0">
                  <c:v>2.9648454691833498E-2</c:v>
                </c:pt>
                <c:pt idx="1">
                  <c:v>3.0014776088254085E-2</c:v>
                </c:pt>
                <c:pt idx="2">
                  <c:v>2.4185319343509249E-2</c:v>
                </c:pt>
                <c:pt idx="3">
                  <c:v>2.8991272002731272E-2</c:v>
                </c:pt>
                <c:pt idx="4">
                  <c:v>2.3325670515752892E-2</c:v>
                </c:pt>
                <c:pt idx="5">
                  <c:v>2.3655510665308261E-2</c:v>
                </c:pt>
                <c:pt idx="6">
                  <c:v>2.9196377240862353E-2</c:v>
                </c:pt>
                <c:pt idx="7">
                  <c:v>2.4886569645921394E-2</c:v>
                </c:pt>
                <c:pt idx="8">
                  <c:v>3.2544987268370101E-2</c:v>
                </c:pt>
                <c:pt idx="9">
                  <c:v>3.0727304729978509E-2</c:v>
                </c:pt>
                <c:pt idx="10">
                  <c:v>2.5088374893379731E-2</c:v>
                </c:pt>
                <c:pt idx="11">
                  <c:v>2.4635011512214124E-2</c:v>
                </c:pt>
              </c:numCache>
            </c:numRef>
          </c:val>
        </c:ser>
        <c:marker val="1"/>
        <c:axId val="106631552"/>
        <c:axId val="106633088"/>
      </c:lineChart>
      <c:catAx>
        <c:axId val="106631552"/>
        <c:scaling>
          <c:orientation val="minMax"/>
        </c:scaling>
        <c:axPos val="b"/>
        <c:majorTickMark val="none"/>
        <c:tickLblPos val="nextTo"/>
        <c:crossAx val="106633088"/>
        <c:crosses val="autoZero"/>
        <c:auto val="1"/>
        <c:lblAlgn val="ctr"/>
        <c:lblOffset val="100"/>
      </c:catAx>
      <c:valAx>
        <c:axId val="106633088"/>
        <c:scaling>
          <c:orientation val="minMax"/>
        </c:scaling>
        <c:axPos val="l"/>
        <c:majorGridlines/>
        <c:title/>
        <c:numFmt formatCode="0.0%" sourceLinked="1"/>
        <c:majorTickMark val="none"/>
        <c:tickLblPos val="nextTo"/>
        <c:crossAx val="10663155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208" footer="0.31496062000000208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/>
              <a:t>Movimentação de Cargas Gerais - Via Marítima </a:t>
            </a:r>
          </a:p>
          <a:p>
            <a:pPr>
              <a:defRPr/>
            </a:pPr>
            <a:r>
              <a:rPr lang="pt-BR"/>
              <a:t>em toneladas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'2016'!$A$7</c:f>
              <c:strCache>
                <c:ptCount val="1"/>
                <c:pt idx="0">
                  <c:v>Da Bahia</c:v>
                </c:pt>
              </c:strCache>
            </c:strRef>
          </c:tx>
          <c:cat>
            <c:strRef>
              <c:f>'2016'!$B$5:$M$5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'2016'!$B$7:$M$7</c:f>
              <c:numCache>
                <c:formatCode>_-* #,##0_-;\-* #,##0_-;_-* "-"??_-;_-@_-</c:formatCode>
                <c:ptCount val="12"/>
                <c:pt idx="0">
                  <c:v>828162.65399999998</c:v>
                </c:pt>
                <c:pt idx="1">
                  <c:v>1204327.325</c:v>
                </c:pt>
                <c:pt idx="2">
                  <c:v>1026235.144</c:v>
                </c:pt>
                <c:pt idx="3">
                  <c:v>1887644.3459999997</c:v>
                </c:pt>
                <c:pt idx="4">
                  <c:v>1832829.7620000003</c:v>
                </c:pt>
                <c:pt idx="5">
                  <c:v>804297.61900000006</c:v>
                </c:pt>
                <c:pt idx="6">
                  <c:v>1926115.0729999999</c:v>
                </c:pt>
                <c:pt idx="7">
                  <c:v>1604985.6589999991</c:v>
                </c:pt>
                <c:pt idx="8">
                  <c:v>1092566.2560000001</c:v>
                </c:pt>
                <c:pt idx="9">
                  <c:v>0</c:v>
                </c:pt>
                <c:pt idx="10">
                  <c:v>547153.20200000005</c:v>
                </c:pt>
                <c:pt idx="11" formatCode="#,##0">
                  <c:v>608765.27099999995</c:v>
                </c:pt>
              </c:numCache>
            </c:numRef>
          </c:val>
        </c:ser>
        <c:ser>
          <c:idx val="1"/>
          <c:order val="1"/>
          <c:tx>
            <c:strRef>
              <c:f>'2016'!$A$8</c:f>
              <c:strCache>
                <c:ptCount val="1"/>
                <c:pt idx="0">
                  <c:v>De Fora da Bahia</c:v>
                </c:pt>
              </c:strCache>
            </c:strRef>
          </c:tx>
          <c:cat>
            <c:strRef>
              <c:f>'2016'!$B$5:$M$5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'2016'!$B$8:$M$8</c:f>
              <c:numCache>
                <c:formatCode>_-* #,##0_-;\-* #,##0_-;_-* "-"??_-;_-@_-</c:formatCode>
                <c:ptCount val="12"/>
                <c:pt idx="0">
                  <c:v>224358.22000000006</c:v>
                </c:pt>
                <c:pt idx="1">
                  <c:v>357929.837</c:v>
                </c:pt>
                <c:pt idx="2">
                  <c:v>280414.50400000002</c:v>
                </c:pt>
                <c:pt idx="3">
                  <c:v>342056.98899999994</c:v>
                </c:pt>
                <c:pt idx="4">
                  <c:v>261917.69600000005</c:v>
                </c:pt>
                <c:pt idx="5">
                  <c:v>309026.50800000003</c:v>
                </c:pt>
                <c:pt idx="6">
                  <c:v>268788.734</c:v>
                </c:pt>
                <c:pt idx="7">
                  <c:v>312361.17099999997</c:v>
                </c:pt>
                <c:pt idx="8">
                  <c:v>318370.13300000003</c:v>
                </c:pt>
                <c:pt idx="9">
                  <c:v>0</c:v>
                </c:pt>
                <c:pt idx="10">
                  <c:v>369661.26199999999</c:v>
                </c:pt>
                <c:pt idx="11" formatCode="#,##0">
                  <c:v>308979.24199999997</c:v>
                </c:pt>
              </c:numCache>
            </c:numRef>
          </c:val>
        </c:ser>
        <c:overlap val="100"/>
        <c:axId val="106733952"/>
        <c:axId val="106735488"/>
      </c:barChart>
      <c:catAx>
        <c:axId val="10673395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06735488"/>
        <c:crosses val="autoZero"/>
        <c:auto val="1"/>
        <c:lblAlgn val="ctr"/>
        <c:lblOffset val="100"/>
      </c:catAx>
      <c:valAx>
        <c:axId val="106735488"/>
        <c:scaling>
          <c:orientation val="minMax"/>
          <c:max val="2500000"/>
        </c:scaling>
        <c:axPos val="l"/>
        <c:majorGridlines/>
        <c:numFmt formatCode="_-* #,##0_-;\-* #,##0_-;_-* &quot;-&quot;??_-;_-@_-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0673395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613" footer="0.3149606200000061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/>
              <a:t>Movimentação de Cargas Conteinerizadas - Via Marítima</a:t>
            </a:r>
          </a:p>
          <a:p>
            <a:pPr>
              <a:defRPr/>
            </a:pPr>
            <a:r>
              <a:rPr lang="pt-BR"/>
              <a:t>em toneladas 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'2016'!$A$34</c:f>
              <c:strCache>
                <c:ptCount val="1"/>
                <c:pt idx="0">
                  <c:v>Da Bahia</c:v>
                </c:pt>
              </c:strCache>
            </c:strRef>
          </c:tx>
          <c:cat>
            <c:strRef>
              <c:f>'2016'!$B$32:$M$32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'2016'!$B$34:$M$34</c:f>
              <c:numCache>
                <c:formatCode>_-* #,##0_-;\-* #,##0_-;_-* "-"??_-;_-@_-</c:formatCode>
                <c:ptCount val="12"/>
                <c:pt idx="0">
                  <c:v>123370.99600000001</c:v>
                </c:pt>
                <c:pt idx="1">
                  <c:v>117387.9672</c:v>
                </c:pt>
                <c:pt idx="2">
                  <c:v>140800.63510000001</c:v>
                </c:pt>
                <c:pt idx="3">
                  <c:v>163961.25369999994</c:v>
                </c:pt>
                <c:pt idx="4">
                  <c:v>186218.07269999996</c:v>
                </c:pt>
                <c:pt idx="5">
                  <c:v>130077.5546</c:v>
                </c:pt>
                <c:pt idx="6">
                  <c:v>139962.47879999992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74702.379300000001</c:v>
                </c:pt>
                <c:pt idx="11" formatCode="#,##0">
                  <c:v>120768.85079999996</c:v>
                </c:pt>
              </c:numCache>
            </c:numRef>
          </c:val>
        </c:ser>
        <c:ser>
          <c:idx val="1"/>
          <c:order val="1"/>
          <c:tx>
            <c:strRef>
              <c:f>'2016'!$A$35</c:f>
              <c:strCache>
                <c:ptCount val="1"/>
                <c:pt idx="0">
                  <c:v>De Fora da Bahia</c:v>
                </c:pt>
              </c:strCache>
            </c:strRef>
          </c:tx>
          <c:cat>
            <c:strRef>
              <c:f>'2016'!$B$32:$M$32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'2016'!$B$35:$M$35</c:f>
              <c:numCache>
                <c:formatCode>_-* #,##0_-;\-* #,##0_-;_-* "-"??_-;_-@_-</c:formatCode>
                <c:ptCount val="12"/>
                <c:pt idx="0">
                  <c:v>53955.698000000033</c:v>
                </c:pt>
                <c:pt idx="1">
                  <c:v>61718.750000000015</c:v>
                </c:pt>
                <c:pt idx="2">
                  <c:v>59654.279000000002</c:v>
                </c:pt>
                <c:pt idx="3">
                  <c:v>57432.756999999998</c:v>
                </c:pt>
                <c:pt idx="4">
                  <c:v>77230.451000000045</c:v>
                </c:pt>
                <c:pt idx="5">
                  <c:v>70781.025000000023</c:v>
                </c:pt>
                <c:pt idx="6">
                  <c:v>37788.182000000008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#,##0">
                  <c:v>48132.271000000001</c:v>
                </c:pt>
                <c:pt idx="11" formatCode="#,##0">
                  <c:v>97119.922999999952</c:v>
                </c:pt>
              </c:numCache>
            </c:numRef>
          </c:val>
        </c:ser>
        <c:overlap val="100"/>
        <c:axId val="94841088"/>
        <c:axId val="94846976"/>
      </c:barChart>
      <c:catAx>
        <c:axId val="9484108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94846976"/>
        <c:crosses val="autoZero"/>
        <c:auto val="1"/>
        <c:lblAlgn val="ctr"/>
        <c:lblOffset val="100"/>
      </c:catAx>
      <c:valAx>
        <c:axId val="94846976"/>
        <c:scaling>
          <c:orientation val="minMax"/>
        </c:scaling>
        <c:axPos val="l"/>
        <c:majorGridlines/>
        <c:numFmt formatCode="_-* #,##0_-;\-* #,##0_-;_-* &quot;-&quot;??_-;_-@_-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9484108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613" footer="0.3149606200000061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Evolução do Comex Baiano - 2016 - Via Marítima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em toneladas</a:t>
            </a:r>
          </a:p>
        </c:rich>
      </c:tx>
    </c:title>
    <c:plotArea>
      <c:layout>
        <c:manualLayout>
          <c:layoutTarget val="inner"/>
          <c:xMode val="edge"/>
          <c:yMode val="edge"/>
          <c:x val="6.5666498608334234E-2"/>
          <c:y val="0.22119607930364513"/>
          <c:w val="0.83698191599418292"/>
          <c:h val="0.69198036686092157"/>
        </c:manualLayout>
      </c:layout>
      <c:lineChart>
        <c:grouping val="standard"/>
        <c:ser>
          <c:idx val="0"/>
          <c:order val="0"/>
          <c:tx>
            <c:strRef>
              <c:f>'2016'!$A$85</c:f>
              <c:strCache>
                <c:ptCount val="1"/>
                <c:pt idx="0">
                  <c:v>Importação</c:v>
                </c:pt>
              </c:strCache>
            </c:strRef>
          </c:tx>
          <c:cat>
            <c:strRef>
              <c:f>'2016'!$B$83:$M$83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'2016'!$B$85:$M$85</c:f>
              <c:numCache>
                <c:formatCode>_-* #,##0_-;\-* #,##0_-;_-* "-"??_-;_-@_-</c:formatCode>
                <c:ptCount val="12"/>
                <c:pt idx="0">
                  <c:v>441041.89499999996</c:v>
                </c:pt>
                <c:pt idx="1">
                  <c:v>895475.51300000004</c:v>
                </c:pt>
                <c:pt idx="2">
                  <c:v>503481.35200000013</c:v>
                </c:pt>
                <c:pt idx="3">
                  <c:v>1127395.6169999999</c:v>
                </c:pt>
                <c:pt idx="4">
                  <c:v>870128.71100000013</c:v>
                </c:pt>
                <c:pt idx="5">
                  <c:v>411771.04399999999</c:v>
                </c:pt>
                <c:pt idx="6">
                  <c:v>1308443.1929999997</c:v>
                </c:pt>
                <c:pt idx="7">
                  <c:v>929310.8259999993</c:v>
                </c:pt>
                <c:pt idx="8">
                  <c:v>557040.39099999995</c:v>
                </c:pt>
                <c:pt idx="9">
                  <c:v>483268.02799999999</c:v>
                </c:pt>
                <c:pt idx="10" formatCode="#,##0">
                  <c:v>226776.22600000005</c:v>
                </c:pt>
                <c:pt idx="11" formatCode="#,##0">
                  <c:v>330009.11199999985</c:v>
                </c:pt>
              </c:numCache>
            </c:numRef>
          </c:val>
        </c:ser>
        <c:ser>
          <c:idx val="1"/>
          <c:order val="1"/>
          <c:tx>
            <c:strRef>
              <c:f>'2016'!$A$86</c:f>
              <c:strCache>
                <c:ptCount val="1"/>
                <c:pt idx="0">
                  <c:v>Exportação</c:v>
                </c:pt>
              </c:strCache>
            </c:strRef>
          </c:tx>
          <c:cat>
            <c:strRef>
              <c:f>'2016'!$B$83:$M$83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'2016'!$B$86:$M$86</c:f>
              <c:numCache>
                <c:formatCode>_-* #,##0_-;\-* #,##0_-;_-* "-"??_-;_-@_-</c:formatCode>
                <c:ptCount val="12"/>
                <c:pt idx="0">
                  <c:v>611478.97900000005</c:v>
                </c:pt>
                <c:pt idx="1">
                  <c:v>666781.64899999998</c:v>
                </c:pt>
                <c:pt idx="2">
                  <c:v>803168.29599999997</c:v>
                </c:pt>
                <c:pt idx="3">
                  <c:v>1102305.7179999999</c:v>
                </c:pt>
                <c:pt idx="4">
                  <c:v>1224618.747</c:v>
                </c:pt>
                <c:pt idx="5">
                  <c:v>701553.08299999998</c:v>
                </c:pt>
                <c:pt idx="6">
                  <c:v>886460.61400000006</c:v>
                </c:pt>
                <c:pt idx="7">
                  <c:v>988036.00399999984</c:v>
                </c:pt>
                <c:pt idx="8">
                  <c:v>853895.99800000002</c:v>
                </c:pt>
                <c:pt idx="9">
                  <c:v>820953.16299999994</c:v>
                </c:pt>
                <c:pt idx="10" formatCode="#,##0">
                  <c:v>690038.2379999999</c:v>
                </c:pt>
                <c:pt idx="11" formatCode="#,##0">
                  <c:v>587735.40100000007</c:v>
                </c:pt>
              </c:numCache>
            </c:numRef>
          </c:val>
        </c:ser>
        <c:marker val="1"/>
        <c:axId val="106893696"/>
        <c:axId val="106895232"/>
      </c:lineChart>
      <c:catAx>
        <c:axId val="10689369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6895232"/>
        <c:crosses val="autoZero"/>
        <c:auto val="1"/>
        <c:lblAlgn val="ctr"/>
        <c:lblOffset val="100"/>
      </c:catAx>
      <c:valAx>
        <c:axId val="106895232"/>
        <c:scaling>
          <c:orientation val="minMax"/>
        </c:scaling>
        <c:axPos val="l"/>
        <c:majorGridlines/>
        <c:numFmt formatCode="_-* #,##0_-;\-* #,##0_-;_-* &quot;-&quot;??_-;_-@_-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6893696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397" footer="0.31496062000000397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Participação da Bahia nas Exportações do Brasil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Via Marítima - em toneladas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 sz="18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</c:rich>
      </c:tx>
    </c:title>
    <c:plotArea>
      <c:layout>
        <c:manualLayout>
          <c:layoutTarget val="inner"/>
          <c:xMode val="edge"/>
          <c:yMode val="edge"/>
          <c:x val="3.7301875171740849E-2"/>
          <c:y val="0.26702585006456186"/>
          <c:w val="0.88027654093314944"/>
          <c:h val="0.58259988334791457"/>
        </c:manualLayout>
      </c:layout>
      <c:lineChart>
        <c:grouping val="standard"/>
        <c:ser>
          <c:idx val="0"/>
          <c:order val="0"/>
          <c:tx>
            <c:strRef>
              <c:f>'2016'!$A$110</c:f>
              <c:strCache>
                <c:ptCount val="1"/>
                <c:pt idx="0">
                  <c:v>BA/BR %</c:v>
                </c:pt>
              </c:strCache>
            </c:strRef>
          </c:tx>
          <c:cat>
            <c:strRef>
              <c:f>'2016'!$B$107:$M$107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'2016'!$B$110:$M$110</c:f>
              <c:numCache>
                <c:formatCode>0.0%</c:formatCode>
                <c:ptCount val="12"/>
                <c:pt idx="0">
                  <c:v>1.4196151156933304E-2</c:v>
                </c:pt>
                <c:pt idx="1">
                  <c:v>1.3038263245796128E-2</c:v>
                </c:pt>
                <c:pt idx="2">
                  <c:v>1.4489718213983777E-2</c:v>
                </c:pt>
                <c:pt idx="3">
                  <c:v>2.0955654178040149E-2</c:v>
                </c:pt>
                <c:pt idx="4">
                  <c:v>2.1346390698715835E-2</c:v>
                </c:pt>
                <c:pt idx="5">
                  <c:v>1.3416518827092737E-2</c:v>
                </c:pt>
                <c:pt idx="6">
                  <c:v>1.7205298739972619E-2</c:v>
                </c:pt>
                <c:pt idx="7">
                  <c:v>1.9176773729361399E-2</c:v>
                </c:pt>
                <c:pt idx="8">
                  <c:v>1.5337700308118816E-2</c:v>
                </c:pt>
                <c:pt idx="9">
                  <c:v>0</c:v>
                </c:pt>
                <c:pt idx="10">
                  <c:v>1.4399058111091042E-2</c:v>
                </c:pt>
                <c:pt idx="11">
                  <c:v>1.1520351061619701E-2</c:v>
                </c:pt>
              </c:numCache>
            </c:numRef>
          </c:val>
        </c:ser>
        <c:marker val="1"/>
        <c:axId val="106927616"/>
        <c:axId val="106929152"/>
      </c:lineChart>
      <c:catAx>
        <c:axId val="10692761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6929152"/>
        <c:crosses val="autoZero"/>
        <c:auto val="1"/>
        <c:lblAlgn val="ctr"/>
        <c:lblOffset val="100"/>
      </c:catAx>
      <c:valAx>
        <c:axId val="106929152"/>
        <c:scaling>
          <c:orientation val="minMax"/>
          <c:max val="3.0000000000000016E-2"/>
          <c:min val="1.0000000000000005E-2"/>
        </c:scaling>
        <c:axPos val="l"/>
        <c:majorGridlines/>
        <c:numFmt formatCode="0.0%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6927616"/>
        <c:crosses val="autoZero"/>
        <c:crossBetween val="between"/>
      </c:valAx>
    </c:plotArea>
    <c:legend>
      <c:legendPos val="r"/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397" footer="0.31496062000000397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Participação da Bahia nas Importações do Brasil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Via Marítima - em toneladas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2.8546223747628389E-2"/>
          <c:y val="0.187889658444758"/>
          <c:w val="0.89036585030729742"/>
          <c:h val="0.70964943183410789"/>
        </c:manualLayout>
      </c:layout>
      <c:lineChart>
        <c:grouping val="standard"/>
        <c:ser>
          <c:idx val="0"/>
          <c:order val="0"/>
          <c:tx>
            <c:strRef>
              <c:f>'2016'!$A$157</c:f>
              <c:strCache>
                <c:ptCount val="1"/>
                <c:pt idx="0">
                  <c:v>BA/BR %</c:v>
                </c:pt>
              </c:strCache>
            </c:strRef>
          </c:tx>
          <c:cat>
            <c:strRef>
              <c:f>'2016'!$B$129:$M$129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'2016'!$B$132:$M$132</c:f>
              <c:numCache>
                <c:formatCode>0.0%</c:formatCode>
                <c:ptCount val="12"/>
                <c:pt idx="0">
                  <c:v>5.161658499728921E-2</c:v>
                </c:pt>
                <c:pt idx="1">
                  <c:v>9.2120626918478138E-2</c:v>
                </c:pt>
                <c:pt idx="2">
                  <c:v>4.5662515902696196E-2</c:v>
                </c:pt>
                <c:pt idx="3">
                  <c:v>0.11071088735148978</c:v>
                </c:pt>
                <c:pt idx="4">
                  <c:v>9.0768127189824618E-2</c:v>
                </c:pt>
                <c:pt idx="5">
                  <c:v>3.803816599855845E-2</c:v>
                </c:pt>
                <c:pt idx="6">
                  <c:v>0.13085097091282988</c:v>
                </c:pt>
                <c:pt idx="7">
                  <c:v>9.2935806852337571E-2</c:v>
                </c:pt>
                <c:pt idx="8">
                  <c:v>4.2694277495594228E-2</c:v>
                </c:pt>
                <c:pt idx="9">
                  <c:v>9.6769546560479591E-2</c:v>
                </c:pt>
                <c:pt idx="10">
                  <c:v>2.2952451940612347E-2</c:v>
                </c:pt>
                <c:pt idx="11">
                  <c:v>2.97763439328552E-2</c:v>
                </c:pt>
              </c:numCache>
            </c:numRef>
          </c:val>
        </c:ser>
        <c:marker val="1"/>
        <c:axId val="106945152"/>
        <c:axId val="110231936"/>
      </c:lineChart>
      <c:catAx>
        <c:axId val="106945152"/>
        <c:scaling>
          <c:orientation val="minMax"/>
        </c:scaling>
        <c:axPos val="b"/>
        <c:numFmt formatCode="0.0%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0231936"/>
        <c:crosses val="autoZero"/>
        <c:auto val="1"/>
        <c:lblAlgn val="ctr"/>
        <c:lblOffset val="100"/>
      </c:catAx>
      <c:valAx>
        <c:axId val="110231936"/>
        <c:scaling>
          <c:orientation val="minMax"/>
          <c:min val="0"/>
        </c:scaling>
        <c:axPos val="l"/>
        <c:majorGridlines/>
        <c:numFmt formatCode="0%" sourceLinked="0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06945152"/>
        <c:crosses val="autoZero"/>
        <c:crossBetween val="between"/>
      </c:valAx>
    </c:plotArea>
    <c:legend>
      <c:legendPos val="r"/>
      <c:layout/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397" footer="0.31496062000000397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 sz="1800"/>
              <a:t>Comércio</a:t>
            </a:r>
            <a:r>
              <a:rPr lang="pt-BR" sz="1800" baseline="0"/>
              <a:t> Exterior Baiano</a:t>
            </a:r>
          </a:p>
          <a:p>
            <a:pPr>
              <a:defRPr/>
            </a:pPr>
            <a:r>
              <a:rPr lang="pt-BR" sz="1200" b="0" baseline="0"/>
              <a:t>Cargas conteinerizadas - em toneladas</a:t>
            </a:r>
            <a:endParaRPr lang="pt-BR" sz="1200" b="0"/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'2016'!$A$61</c:f>
              <c:strCache>
                <c:ptCount val="1"/>
                <c:pt idx="0">
                  <c:v>Da Bahia</c:v>
                </c:pt>
              </c:strCache>
            </c:strRef>
          </c:tx>
          <c:cat>
            <c:strRef>
              <c:f>'2016'!$B$60:$N$60</c:f>
              <c:strCache>
                <c:ptCount val="13"/>
                <c:pt idx="0">
                  <c:v>dez.2015</c:v>
                </c:pt>
                <c:pt idx="1">
                  <c:v>jan.2016</c:v>
                </c:pt>
                <c:pt idx="2">
                  <c:v>fev.2016</c:v>
                </c:pt>
                <c:pt idx="3">
                  <c:v>mar.2016</c:v>
                </c:pt>
                <c:pt idx="4">
                  <c:v>abr.2016</c:v>
                </c:pt>
                <c:pt idx="5">
                  <c:v>mai.2016</c:v>
                </c:pt>
                <c:pt idx="6">
                  <c:v>jun.2016</c:v>
                </c:pt>
                <c:pt idx="7">
                  <c:v>jul.2016</c:v>
                </c:pt>
                <c:pt idx="8">
                  <c:v>ago.2016</c:v>
                </c:pt>
                <c:pt idx="9">
                  <c:v>set.2016</c:v>
                </c:pt>
                <c:pt idx="10">
                  <c:v>out.2016</c:v>
                </c:pt>
                <c:pt idx="11">
                  <c:v>nov.2016</c:v>
                </c:pt>
                <c:pt idx="12">
                  <c:v>dez.2016</c:v>
                </c:pt>
              </c:strCache>
            </c:strRef>
          </c:cat>
          <c:val>
            <c:numRef>
              <c:f>'2016'!$B$61:$N$61</c:f>
              <c:numCache>
                <c:formatCode>_-* #,##0_-;\-* #,##0_-;_-* "-"??_-;_-@_-</c:formatCode>
                <c:ptCount val="13"/>
                <c:pt idx="0">
                  <c:v>129568.62099999996</c:v>
                </c:pt>
                <c:pt idx="1">
                  <c:v>123370.99600000001</c:v>
                </c:pt>
                <c:pt idx="2">
                  <c:v>117387.9672</c:v>
                </c:pt>
                <c:pt idx="3">
                  <c:v>140800.63510000001</c:v>
                </c:pt>
                <c:pt idx="4">
                  <c:v>163961.25369999994</c:v>
                </c:pt>
                <c:pt idx="5">
                  <c:v>186218.07269999996</c:v>
                </c:pt>
                <c:pt idx="6">
                  <c:v>130077.5546</c:v>
                </c:pt>
                <c:pt idx="7">
                  <c:v>139962.47879999992</c:v>
                </c:pt>
                <c:pt idx="8">
                  <c:v>127834.86319999999</c:v>
                </c:pt>
                <c:pt idx="9">
                  <c:v>132443.84729999991</c:v>
                </c:pt>
                <c:pt idx="10">
                  <c:v>128002.28829999999</c:v>
                </c:pt>
                <c:pt idx="11">
                  <c:v>74702.379300000001</c:v>
                </c:pt>
                <c:pt idx="12" formatCode="#,##0">
                  <c:v>120768.85079999996</c:v>
                </c:pt>
              </c:numCache>
            </c:numRef>
          </c:val>
        </c:ser>
        <c:ser>
          <c:idx val="1"/>
          <c:order val="1"/>
          <c:tx>
            <c:strRef>
              <c:f>'2016'!$A$62</c:f>
              <c:strCache>
                <c:ptCount val="1"/>
                <c:pt idx="0">
                  <c:v>De Fora da Bahia</c:v>
                </c:pt>
              </c:strCache>
            </c:strRef>
          </c:tx>
          <c:cat>
            <c:strRef>
              <c:f>'2016'!$B$60:$N$60</c:f>
              <c:strCache>
                <c:ptCount val="13"/>
                <c:pt idx="0">
                  <c:v>dez.2015</c:v>
                </c:pt>
                <c:pt idx="1">
                  <c:v>jan.2016</c:v>
                </c:pt>
                <c:pt idx="2">
                  <c:v>fev.2016</c:v>
                </c:pt>
                <c:pt idx="3">
                  <c:v>mar.2016</c:v>
                </c:pt>
                <c:pt idx="4">
                  <c:v>abr.2016</c:v>
                </c:pt>
                <c:pt idx="5">
                  <c:v>mai.2016</c:v>
                </c:pt>
                <c:pt idx="6">
                  <c:v>jun.2016</c:v>
                </c:pt>
                <c:pt idx="7">
                  <c:v>jul.2016</c:v>
                </c:pt>
                <c:pt idx="8">
                  <c:v>ago.2016</c:v>
                </c:pt>
                <c:pt idx="9">
                  <c:v>set.2016</c:v>
                </c:pt>
                <c:pt idx="10">
                  <c:v>out.2016</c:v>
                </c:pt>
                <c:pt idx="11">
                  <c:v>nov.2016</c:v>
                </c:pt>
                <c:pt idx="12">
                  <c:v>dez.2016</c:v>
                </c:pt>
              </c:strCache>
            </c:strRef>
          </c:cat>
          <c:val>
            <c:numRef>
              <c:f>'2016'!$B$62:$N$62</c:f>
              <c:numCache>
                <c:formatCode>_-* #,##0_-;\-* #,##0_-;_-* "-"??_-;_-@_-</c:formatCode>
                <c:ptCount val="13"/>
                <c:pt idx="0">
                  <c:v>45524.175000000003</c:v>
                </c:pt>
                <c:pt idx="1">
                  <c:v>53955.698000000033</c:v>
                </c:pt>
                <c:pt idx="2">
                  <c:v>61718.750000000015</c:v>
                </c:pt>
                <c:pt idx="3">
                  <c:v>59654.279000000002</c:v>
                </c:pt>
                <c:pt idx="4">
                  <c:v>57432.756999999998</c:v>
                </c:pt>
                <c:pt idx="5">
                  <c:v>77230.451000000045</c:v>
                </c:pt>
                <c:pt idx="6">
                  <c:v>70781.025000000023</c:v>
                </c:pt>
                <c:pt idx="7">
                  <c:v>37788.182000000008</c:v>
                </c:pt>
                <c:pt idx="8">
                  <c:v>67618.365000000005</c:v>
                </c:pt>
                <c:pt idx="9">
                  <c:v>69456.056000000026</c:v>
                </c:pt>
                <c:pt idx="10">
                  <c:v>77149.627999999997</c:v>
                </c:pt>
                <c:pt idx="11" formatCode="#,##0">
                  <c:v>48132.271000000001</c:v>
                </c:pt>
                <c:pt idx="12" formatCode="#,##0">
                  <c:v>97119.922999999952</c:v>
                </c:pt>
              </c:numCache>
            </c:numRef>
          </c:val>
        </c:ser>
        <c:gapWidth val="75"/>
        <c:overlap val="100"/>
        <c:axId val="110251392"/>
        <c:axId val="106914944"/>
      </c:barChart>
      <c:catAx>
        <c:axId val="110251392"/>
        <c:scaling>
          <c:orientation val="minMax"/>
        </c:scaling>
        <c:axPos val="b"/>
        <c:numFmt formatCode="mmm/yy" sourceLinked="1"/>
        <c:majorTickMark val="none"/>
        <c:tickLblPos val="nextTo"/>
        <c:crossAx val="106914944"/>
        <c:crosses val="autoZero"/>
        <c:auto val="1"/>
        <c:lblAlgn val="ctr"/>
        <c:lblOffset val="100"/>
      </c:catAx>
      <c:valAx>
        <c:axId val="106914944"/>
        <c:scaling>
          <c:orientation val="minMax"/>
        </c:scaling>
        <c:axPos val="l"/>
        <c:majorGridlines/>
        <c:numFmt formatCode="_-* #,##0_-;\-* #,##0_-;_-* &quot;-&quot;??_-;_-@_-" sourceLinked="1"/>
        <c:majorTickMark val="none"/>
        <c:tickLblPos val="nextTo"/>
        <c:spPr>
          <a:ln w="9525">
            <a:noFill/>
          </a:ln>
        </c:spPr>
        <c:crossAx val="11025139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236" footer="0.31496062000000236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Participação</a:t>
            </a:r>
            <a:r>
              <a:rPr lang="en-US" baseline="0"/>
              <a:t> da Bahia no Comex Brasil</a:t>
            </a:r>
          </a:p>
          <a:p>
            <a:pPr>
              <a:defRPr/>
            </a:pPr>
            <a:r>
              <a:rPr lang="en-US" sz="1100" b="0" baseline="0"/>
              <a:t>Via Maritma - em tonelada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'2016'!$A$157</c:f>
              <c:strCache>
                <c:ptCount val="1"/>
                <c:pt idx="0">
                  <c:v>BA/BR %</c:v>
                </c:pt>
              </c:strCache>
            </c:strRef>
          </c:tx>
          <c:cat>
            <c:strRef>
              <c:f>'2016'!$B$154:$M$154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'2016'!$B$157:$M$157</c:f>
              <c:numCache>
                <c:formatCode>0.0%</c:formatCode>
                <c:ptCount val="12"/>
                <c:pt idx="0">
                  <c:v>2.0390518314854111E-2</c:v>
                </c:pt>
                <c:pt idx="1">
                  <c:v>2.5669241218804779E-2</c:v>
                </c:pt>
                <c:pt idx="2">
                  <c:v>1.9661768792362411E-2</c:v>
                </c:pt>
                <c:pt idx="3">
                  <c:v>3.5513241890254101E-2</c:v>
                </c:pt>
                <c:pt idx="4">
                  <c:v>3.1285820612441173E-2</c:v>
                </c:pt>
                <c:pt idx="5">
                  <c:v>1.763948519987165E-2</c:v>
                </c:pt>
                <c:pt idx="6">
                  <c:v>3.5676714673792013E-2</c:v>
                </c:pt>
                <c:pt idx="7">
                  <c:v>2.8261355458367558E-2</c:v>
                </c:pt>
                <c:pt idx="8">
                  <c:v>2.0531609269986553E-2</c:v>
                </c:pt>
                <c:pt idx="9">
                  <c:v>2.3856733187522836E-2</c:v>
                </c:pt>
                <c:pt idx="10">
                  <c:v>1.5861096058148762E-2</c:v>
                </c:pt>
                <c:pt idx="11">
                  <c:v>1.4778477316481414E-2</c:v>
                </c:pt>
              </c:numCache>
            </c:numRef>
          </c:val>
        </c:ser>
        <c:marker val="1"/>
        <c:axId val="110281472"/>
        <c:axId val="110283008"/>
      </c:lineChart>
      <c:catAx>
        <c:axId val="110281472"/>
        <c:scaling>
          <c:orientation val="minMax"/>
        </c:scaling>
        <c:axPos val="b"/>
        <c:majorTickMark val="none"/>
        <c:tickLblPos val="nextTo"/>
        <c:crossAx val="110283008"/>
        <c:crosses val="autoZero"/>
        <c:auto val="1"/>
        <c:lblAlgn val="ctr"/>
        <c:lblOffset val="100"/>
      </c:catAx>
      <c:valAx>
        <c:axId val="110283008"/>
        <c:scaling>
          <c:orientation val="minMax"/>
        </c:scaling>
        <c:axPos val="l"/>
        <c:majorGridlines/>
        <c:numFmt formatCode="0.0%" sourceLinked="1"/>
        <c:majorTickMark val="none"/>
        <c:tickLblPos val="nextTo"/>
        <c:crossAx val="11028147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224" footer="0.31496062000000224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/>
              <a:t>Movimentação de Cargas Gerais - Via Marítima </a:t>
            </a:r>
          </a:p>
          <a:p>
            <a:pPr>
              <a:defRPr/>
            </a:pPr>
            <a:r>
              <a:rPr lang="pt-BR"/>
              <a:t>em toneladas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'2017'!$A$7</c:f>
              <c:strCache>
                <c:ptCount val="1"/>
                <c:pt idx="0">
                  <c:v>Da Bahia</c:v>
                </c:pt>
              </c:strCache>
            </c:strRef>
          </c:tx>
          <c:cat>
            <c:strRef>
              <c:f>'2017'!$B$5:$M$5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'2017'!$B$7:$M$7</c:f>
              <c:numCache>
                <c:formatCode>_-* #,##0_-;\-* #,##0_-;_-* "-"??_-;_-@_-</c:formatCode>
                <c:ptCount val="12"/>
                <c:pt idx="0">
                  <c:v>2150011.0979999998</c:v>
                </c:pt>
                <c:pt idx="1">
                  <c:v>1021983.529</c:v>
                </c:pt>
                <c:pt idx="2">
                  <c:v>1420283.2389999998</c:v>
                </c:pt>
                <c:pt idx="3">
                  <c:v>1233640.9510000004</c:v>
                </c:pt>
                <c:pt idx="4">
                  <c:v>1440048.628</c:v>
                </c:pt>
                <c:pt idx="5">
                  <c:v>1413392.0789999999</c:v>
                </c:pt>
                <c:pt idx="6">
                  <c:v>1584707.9610000001</c:v>
                </c:pt>
                <c:pt idx="7">
                  <c:v>1735634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#,##0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'2017'!$A$8</c:f>
              <c:strCache>
                <c:ptCount val="1"/>
                <c:pt idx="0">
                  <c:v>De Fora da Bahia</c:v>
                </c:pt>
              </c:strCache>
            </c:strRef>
          </c:tx>
          <c:cat>
            <c:strRef>
              <c:f>'2017'!$B$5:$M$5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'2017'!$B$8:$M$8</c:f>
              <c:numCache>
                <c:formatCode>_-* #,##0_-;\-* #,##0_-;_-* "-"??_-;_-@_-</c:formatCode>
                <c:ptCount val="12"/>
                <c:pt idx="0">
                  <c:v>356369.41099999996</c:v>
                </c:pt>
                <c:pt idx="1">
                  <c:v>237538.33500000002</c:v>
                </c:pt>
                <c:pt idx="2">
                  <c:v>347402.32999999996</c:v>
                </c:pt>
                <c:pt idx="3">
                  <c:v>234408.984</c:v>
                </c:pt>
                <c:pt idx="4">
                  <c:v>289692.39900000003</c:v>
                </c:pt>
                <c:pt idx="5">
                  <c:v>320554.56700000004</c:v>
                </c:pt>
                <c:pt idx="6">
                  <c:v>254358.60000000006</c:v>
                </c:pt>
                <c:pt idx="7">
                  <c:v>377474.69299999997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#,##0">
                  <c:v>0</c:v>
                </c:pt>
              </c:numCache>
            </c:numRef>
          </c:val>
        </c:ser>
        <c:overlap val="100"/>
        <c:axId val="112959872"/>
        <c:axId val="112961408"/>
      </c:barChart>
      <c:catAx>
        <c:axId val="11295987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12961408"/>
        <c:crosses val="autoZero"/>
        <c:auto val="1"/>
        <c:lblAlgn val="ctr"/>
        <c:lblOffset val="100"/>
      </c:catAx>
      <c:valAx>
        <c:axId val="112961408"/>
        <c:scaling>
          <c:orientation val="minMax"/>
          <c:max val="2500000"/>
        </c:scaling>
        <c:axPos val="l"/>
        <c:majorGridlines/>
        <c:numFmt formatCode="_-* #,##0_-;\-* #,##0_-;_-* &quot;-&quot;??_-;_-@_-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1295987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635" footer="0.3149606200000063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/>
              <a:t>Movimentação de Cargas Conteinerizadas - Via Marítima</a:t>
            </a:r>
          </a:p>
          <a:p>
            <a:pPr>
              <a:defRPr/>
            </a:pPr>
            <a:r>
              <a:rPr lang="pt-BR"/>
              <a:t>em toneladas 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'2017'!$A$34</c:f>
              <c:strCache>
                <c:ptCount val="1"/>
                <c:pt idx="0">
                  <c:v>Da Bahia</c:v>
                </c:pt>
              </c:strCache>
            </c:strRef>
          </c:tx>
          <c:cat>
            <c:strRef>
              <c:f>'2017'!$B$32:$M$32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'2017'!$B$34:$M$34</c:f>
              <c:numCache>
                <c:formatCode>_-* #,##0_-;\-* #,##0_-;_-* "-"??_-;_-@_-</c:formatCode>
                <c:ptCount val="12"/>
                <c:pt idx="0">
                  <c:v>148072.39490000001</c:v>
                </c:pt>
                <c:pt idx="1">
                  <c:v>116328.35059999998</c:v>
                </c:pt>
                <c:pt idx="2">
                  <c:v>133541.6501</c:v>
                </c:pt>
                <c:pt idx="3">
                  <c:v>103822.24020000001</c:v>
                </c:pt>
                <c:pt idx="4">
                  <c:v>205432.46899999998</c:v>
                </c:pt>
                <c:pt idx="5">
                  <c:v>125653.27409999994</c:v>
                </c:pt>
                <c:pt idx="6">
                  <c:v>142713.14169999998</c:v>
                </c:pt>
                <c:pt idx="7">
                  <c:v>122856.33039999995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#,##0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'2017'!$A$35</c:f>
              <c:strCache>
                <c:ptCount val="1"/>
                <c:pt idx="0">
                  <c:v>De Fora da Bahia</c:v>
                </c:pt>
              </c:strCache>
            </c:strRef>
          </c:tx>
          <c:cat>
            <c:strRef>
              <c:f>'2017'!$B$32:$M$32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'2017'!$B$35:$M$35</c:f>
              <c:numCache>
                <c:formatCode>_-* #,##0_-;\-* #,##0_-;_-* "-"??_-;_-@_-</c:formatCode>
                <c:ptCount val="12"/>
                <c:pt idx="0">
                  <c:v>65622.38499999998</c:v>
                </c:pt>
                <c:pt idx="1">
                  <c:v>43202.742000000027</c:v>
                </c:pt>
                <c:pt idx="2">
                  <c:v>52132.535999999993</c:v>
                </c:pt>
                <c:pt idx="3">
                  <c:v>35893.608999999997</c:v>
                </c:pt>
                <c:pt idx="4">
                  <c:v>46263.953000000023</c:v>
                </c:pt>
                <c:pt idx="5">
                  <c:v>69790.646999999997</c:v>
                </c:pt>
                <c:pt idx="6">
                  <c:v>51257.440000000053</c:v>
                </c:pt>
                <c:pt idx="7">
                  <c:v>60848.203999999998</c:v>
                </c:pt>
                <c:pt idx="8">
                  <c:v>0</c:v>
                </c:pt>
                <c:pt idx="9">
                  <c:v>0</c:v>
                </c:pt>
                <c:pt idx="10" formatCode="#,##0">
                  <c:v>0</c:v>
                </c:pt>
                <c:pt idx="11" formatCode="#,##0">
                  <c:v>0</c:v>
                </c:pt>
              </c:numCache>
            </c:numRef>
          </c:val>
        </c:ser>
        <c:overlap val="100"/>
        <c:axId val="112978176"/>
        <c:axId val="112861184"/>
      </c:barChart>
      <c:catAx>
        <c:axId val="1129781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12861184"/>
        <c:crosses val="autoZero"/>
        <c:auto val="1"/>
        <c:lblAlgn val="ctr"/>
        <c:lblOffset val="100"/>
      </c:catAx>
      <c:valAx>
        <c:axId val="112861184"/>
        <c:scaling>
          <c:orientation val="minMax"/>
        </c:scaling>
        <c:axPos val="l"/>
        <c:majorGridlines/>
        <c:numFmt formatCode="_-* #,##0_-;\-* #,##0_-;_-* &quot;-&quot;??_-;_-@_-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1297817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635" footer="0.3149606200000063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/>
              <a:t>Movimentação de Cargas  por Via Marítima Conteinerizadas </a:t>
            </a:r>
          </a:p>
          <a:p>
            <a:pPr>
              <a:defRPr/>
            </a:pPr>
            <a:r>
              <a:rPr lang="pt-BR"/>
              <a:t>Em toneladas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v>Bahia</c:v>
          </c:tx>
          <c:cat>
            <c:strRef>
              <c:f>'2010'!$B$31:$M$31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'2010'!$B$33:$M$33</c:f>
              <c:numCache>
                <c:formatCode>_-* #,##0_-;\-* #,##0_-;_-* "-"??_-;_-@_-</c:formatCode>
                <c:ptCount val="12"/>
                <c:pt idx="0">
                  <c:v>81361</c:v>
                </c:pt>
                <c:pt idx="1">
                  <c:v>78843</c:v>
                </c:pt>
                <c:pt idx="2">
                  <c:v>91138</c:v>
                </c:pt>
                <c:pt idx="3">
                  <c:v>107766</c:v>
                </c:pt>
                <c:pt idx="4">
                  <c:v>97004</c:v>
                </c:pt>
                <c:pt idx="5">
                  <c:v>118909</c:v>
                </c:pt>
                <c:pt idx="6">
                  <c:v>104024</c:v>
                </c:pt>
                <c:pt idx="7">
                  <c:v>126442</c:v>
                </c:pt>
                <c:pt idx="8">
                  <c:v>122818</c:v>
                </c:pt>
                <c:pt idx="9">
                  <c:v>124712</c:v>
                </c:pt>
                <c:pt idx="10">
                  <c:v>104445</c:v>
                </c:pt>
                <c:pt idx="11">
                  <c:v>114453</c:v>
                </c:pt>
              </c:numCache>
            </c:numRef>
          </c:val>
        </c:ser>
        <c:ser>
          <c:idx val="1"/>
          <c:order val="1"/>
          <c:tx>
            <c:v>Outros Estados</c:v>
          </c:tx>
          <c:cat>
            <c:strRef>
              <c:f>'2010'!$B$31:$M$31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'2010'!$B$34:$M$34</c:f>
              <c:numCache>
                <c:formatCode>_-* #,##0_-;\-* #,##0_-;_-* "-"??_-;_-@_-</c:formatCode>
                <c:ptCount val="12"/>
                <c:pt idx="0">
                  <c:v>44698</c:v>
                </c:pt>
                <c:pt idx="1">
                  <c:v>40748</c:v>
                </c:pt>
                <c:pt idx="2">
                  <c:v>42877</c:v>
                </c:pt>
                <c:pt idx="3">
                  <c:v>34330</c:v>
                </c:pt>
                <c:pt idx="4">
                  <c:v>35184</c:v>
                </c:pt>
                <c:pt idx="5">
                  <c:v>32484</c:v>
                </c:pt>
                <c:pt idx="6">
                  <c:v>35698</c:v>
                </c:pt>
                <c:pt idx="7">
                  <c:v>88957</c:v>
                </c:pt>
                <c:pt idx="8">
                  <c:v>87699</c:v>
                </c:pt>
                <c:pt idx="9">
                  <c:v>79641</c:v>
                </c:pt>
                <c:pt idx="10">
                  <c:v>50405</c:v>
                </c:pt>
                <c:pt idx="11">
                  <c:v>36446</c:v>
                </c:pt>
              </c:numCache>
            </c:numRef>
          </c:val>
        </c:ser>
        <c:gapWidth val="55"/>
        <c:overlap val="100"/>
        <c:axId val="74555392"/>
        <c:axId val="74556928"/>
      </c:barChart>
      <c:catAx>
        <c:axId val="7455539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74556928"/>
        <c:crosses val="autoZero"/>
        <c:auto val="1"/>
        <c:lblAlgn val="ctr"/>
        <c:lblOffset val="100"/>
      </c:catAx>
      <c:valAx>
        <c:axId val="74556928"/>
        <c:scaling>
          <c:orientation val="minMax"/>
        </c:scaling>
        <c:axPos val="l"/>
        <c:majorGridlines/>
        <c:numFmt formatCode="_-* #,##0_-;\-* #,##0_-;_-* &quot;-&quot;??_-;_-@_-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7455539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602" footer="0.3149606200000060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Evolução do Comex Baiano - 2016 - Via Marítima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em toneladas</a:t>
            </a:r>
          </a:p>
        </c:rich>
      </c:tx>
    </c:title>
    <c:plotArea>
      <c:layout>
        <c:manualLayout>
          <c:layoutTarget val="inner"/>
          <c:xMode val="edge"/>
          <c:yMode val="edge"/>
          <c:x val="6.5666498608334234E-2"/>
          <c:y val="0.22119607930364507"/>
          <c:w val="0.83698191599418315"/>
          <c:h val="0.69198036686092157"/>
        </c:manualLayout>
      </c:layout>
      <c:lineChart>
        <c:grouping val="standard"/>
        <c:ser>
          <c:idx val="0"/>
          <c:order val="0"/>
          <c:tx>
            <c:strRef>
              <c:f>'2017'!$A$85</c:f>
              <c:strCache>
                <c:ptCount val="1"/>
                <c:pt idx="0">
                  <c:v>Importação</c:v>
                </c:pt>
              </c:strCache>
            </c:strRef>
          </c:tx>
          <c:cat>
            <c:strRef>
              <c:f>'2017'!$B$83:$M$83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'2017'!$B$85:$M$85</c:f>
              <c:numCache>
                <c:formatCode>_-* #,##0_-;\-* #,##0_-;_-* "-"??_-;_-@_-</c:formatCode>
                <c:ptCount val="12"/>
                <c:pt idx="0">
                  <c:v>1569935.1739999996</c:v>
                </c:pt>
                <c:pt idx="1">
                  <c:v>654859.39099999983</c:v>
                </c:pt>
                <c:pt idx="2">
                  <c:v>904247.72900000017</c:v>
                </c:pt>
                <c:pt idx="3">
                  <c:v>298272.10400000005</c:v>
                </c:pt>
                <c:pt idx="4">
                  <c:v>242883.08600000001</c:v>
                </c:pt>
                <c:pt idx="5">
                  <c:v>400102.01699999999</c:v>
                </c:pt>
                <c:pt idx="6">
                  <c:v>376128.65700000001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#,##0">
                  <c:v>0</c:v>
                </c:pt>
                <c:pt idx="11" formatCode="#,##0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'2017'!$A$86</c:f>
              <c:strCache>
                <c:ptCount val="1"/>
                <c:pt idx="0">
                  <c:v>Exportação</c:v>
                </c:pt>
              </c:strCache>
            </c:strRef>
          </c:tx>
          <c:cat>
            <c:strRef>
              <c:f>'2017'!$B$83:$M$83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'2017'!$B$86:$M$86</c:f>
              <c:numCache>
                <c:formatCode>_-* #,##0_-;\-* #,##0_-;_-* "-"??_-;_-@_-</c:formatCode>
                <c:ptCount val="12"/>
                <c:pt idx="0">
                  <c:v>936445.33499999996</c:v>
                </c:pt>
                <c:pt idx="1">
                  <c:v>604662.47300000011</c:v>
                </c:pt>
                <c:pt idx="2">
                  <c:v>863437.83999999985</c:v>
                </c:pt>
                <c:pt idx="3">
                  <c:v>26079.008000000023</c:v>
                </c:pt>
                <c:pt idx="4">
                  <c:v>28312.486999999994</c:v>
                </c:pt>
                <c:pt idx="5">
                  <c:v>23617.970000000008</c:v>
                </c:pt>
                <c:pt idx="6">
                  <c:v>15618.419000000018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#,##0">
                  <c:v>0</c:v>
                </c:pt>
                <c:pt idx="11" formatCode="#,##0">
                  <c:v>0</c:v>
                </c:pt>
              </c:numCache>
            </c:numRef>
          </c:val>
        </c:ser>
        <c:marker val="1"/>
        <c:axId val="112898432"/>
        <c:axId val="112899968"/>
      </c:lineChart>
      <c:catAx>
        <c:axId val="11289843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2899968"/>
        <c:crosses val="autoZero"/>
        <c:auto val="1"/>
        <c:lblAlgn val="ctr"/>
        <c:lblOffset val="100"/>
      </c:catAx>
      <c:valAx>
        <c:axId val="112899968"/>
        <c:scaling>
          <c:orientation val="minMax"/>
        </c:scaling>
        <c:axPos val="l"/>
        <c:majorGridlines/>
        <c:numFmt formatCode="_-* #,##0_-;\-* #,##0_-;_-* &quot;-&quot;??_-;_-@_-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2898432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408" footer="0.31496062000000408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Participação da Bahia nas Exportações do Brasil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Via Marítima - em toneladas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 sz="18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3.7301875171740863E-2"/>
          <c:y val="0.26702585006456186"/>
          <c:w val="0.88027654093314922"/>
          <c:h val="0.58259988334791457"/>
        </c:manualLayout>
      </c:layout>
      <c:lineChart>
        <c:grouping val="standard"/>
        <c:ser>
          <c:idx val="0"/>
          <c:order val="0"/>
          <c:tx>
            <c:strRef>
              <c:f>'2017'!$A$110</c:f>
              <c:strCache>
                <c:ptCount val="1"/>
                <c:pt idx="0">
                  <c:v>BA/BR %</c:v>
                </c:pt>
              </c:strCache>
            </c:strRef>
          </c:tx>
          <c:cat>
            <c:strRef>
              <c:f>'2017'!$B$107:$M$107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'2017'!$B$110:$M$110</c:f>
              <c:numCache>
                <c:formatCode>0.0%</c:formatCode>
                <c:ptCount val="12"/>
                <c:pt idx="0">
                  <c:v>1.9263691870740771E-2</c:v>
                </c:pt>
                <c:pt idx="1">
                  <c:v>1.332209619240235E-2</c:v>
                </c:pt>
                <c:pt idx="2">
                  <c:v>1.4335784900358478E-2</c:v>
                </c:pt>
                <c:pt idx="3">
                  <c:v>5.5549719813269803E-4</c:v>
                </c:pt>
                <c:pt idx="4">
                  <c:v>4.5911710619831104E-4</c:v>
                </c:pt>
                <c:pt idx="5">
                  <c:v>3.8356198666707203E-4</c:v>
                </c:pt>
                <c:pt idx="6">
                  <c:v>2.7280280492390953E-4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marker val="1"/>
        <c:axId val="115496448"/>
        <c:axId val="115497984"/>
      </c:lineChart>
      <c:catAx>
        <c:axId val="11549644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5497984"/>
        <c:crosses val="autoZero"/>
        <c:auto val="1"/>
        <c:lblAlgn val="ctr"/>
        <c:lblOffset val="100"/>
      </c:catAx>
      <c:valAx>
        <c:axId val="115497984"/>
        <c:scaling>
          <c:orientation val="minMax"/>
          <c:max val="3.0000000000000016E-2"/>
          <c:min val="1.0000000000000005E-2"/>
        </c:scaling>
        <c:axPos val="l"/>
        <c:majorGridlines/>
        <c:numFmt formatCode="0.0%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5496448"/>
        <c:crosses val="autoZero"/>
        <c:crossBetween val="between"/>
      </c:valAx>
    </c:plotArea>
    <c:legend>
      <c:legendPos val="r"/>
      <c:layout/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408" footer="0.31496062000000408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Participação da Bahia nas Importações do Brasil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Via Marítima - em toneladas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2.8546223747628389E-2"/>
          <c:y val="0.187889658444758"/>
          <c:w val="0.89036585030729742"/>
          <c:h val="0.70964943183410834"/>
        </c:manualLayout>
      </c:layout>
      <c:lineChart>
        <c:grouping val="standard"/>
        <c:ser>
          <c:idx val="0"/>
          <c:order val="0"/>
          <c:tx>
            <c:strRef>
              <c:f>'2016'!$A$157</c:f>
              <c:strCache>
                <c:ptCount val="1"/>
                <c:pt idx="0">
                  <c:v>BA/BR %</c:v>
                </c:pt>
              </c:strCache>
            </c:strRef>
          </c:tx>
          <c:cat>
            <c:strRef>
              <c:f>'2016'!$B$129:$M$129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'2017'!$B$132:$M$132</c:f>
              <c:numCache>
                <c:formatCode>0.0%</c:formatCode>
                <c:ptCount val="12"/>
                <c:pt idx="0">
                  <c:v>0.13393601004615607</c:v>
                </c:pt>
                <c:pt idx="1">
                  <c:v>5.8917634276010128E-2</c:v>
                </c:pt>
                <c:pt idx="2">
                  <c:v>7.3823373248110807E-2</c:v>
                </c:pt>
                <c:pt idx="3">
                  <c:v>3.0872920971245884E-2</c:v>
                </c:pt>
                <c:pt idx="4">
                  <c:v>2.0998232834071383E-2</c:v>
                </c:pt>
                <c:pt idx="5">
                  <c:v>3.3180229215935303E-2</c:v>
                </c:pt>
                <c:pt idx="6">
                  <c:v>3.1753840099312002E-2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marker val="1"/>
        <c:axId val="115485312"/>
        <c:axId val="115519872"/>
      </c:lineChart>
      <c:catAx>
        <c:axId val="115485312"/>
        <c:scaling>
          <c:orientation val="minMax"/>
        </c:scaling>
        <c:axPos val="b"/>
        <c:numFmt formatCode="0.0%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5519872"/>
        <c:crosses val="autoZero"/>
        <c:auto val="1"/>
        <c:lblAlgn val="ctr"/>
        <c:lblOffset val="100"/>
      </c:catAx>
      <c:valAx>
        <c:axId val="115519872"/>
        <c:scaling>
          <c:orientation val="minMax"/>
          <c:min val="0"/>
        </c:scaling>
        <c:axPos val="l"/>
        <c:majorGridlines/>
        <c:numFmt formatCode="0%" sourceLinked="0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15485312"/>
        <c:crosses val="autoZero"/>
        <c:crossBetween val="between"/>
      </c:valAx>
    </c:plotArea>
    <c:legend>
      <c:legendPos val="r"/>
      <c:layout/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408" footer="0.31496062000000408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 sz="1800"/>
              <a:t>Comércio</a:t>
            </a:r>
            <a:r>
              <a:rPr lang="pt-BR" sz="1800" baseline="0"/>
              <a:t> Exterior Baiano</a:t>
            </a:r>
          </a:p>
          <a:p>
            <a:pPr>
              <a:defRPr/>
            </a:pPr>
            <a:r>
              <a:rPr lang="pt-BR" sz="1200" b="0" baseline="0"/>
              <a:t>Cargas conteinerizadas - em toneladas</a:t>
            </a:r>
            <a:endParaRPr lang="pt-BR" sz="1200" b="0"/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'2017'!$A$61</c:f>
              <c:strCache>
                <c:ptCount val="1"/>
                <c:pt idx="0">
                  <c:v>Da Bahia</c:v>
                </c:pt>
              </c:strCache>
            </c:strRef>
          </c:tx>
          <c:cat>
            <c:strRef>
              <c:f>'2017'!$B$60:$N$60</c:f>
              <c:strCache>
                <c:ptCount val="13"/>
                <c:pt idx="0">
                  <c:v>dez.2016</c:v>
                </c:pt>
                <c:pt idx="1">
                  <c:v>jan.2017</c:v>
                </c:pt>
                <c:pt idx="2">
                  <c:v>fev.2017</c:v>
                </c:pt>
                <c:pt idx="3">
                  <c:v>mar.2017</c:v>
                </c:pt>
                <c:pt idx="4">
                  <c:v>abr.2017</c:v>
                </c:pt>
                <c:pt idx="5">
                  <c:v>mai.2017</c:v>
                </c:pt>
                <c:pt idx="6">
                  <c:v>jun.2017</c:v>
                </c:pt>
                <c:pt idx="7">
                  <c:v>jul.2017</c:v>
                </c:pt>
                <c:pt idx="8">
                  <c:v>ago.2017</c:v>
                </c:pt>
                <c:pt idx="9">
                  <c:v>set.2017</c:v>
                </c:pt>
                <c:pt idx="10">
                  <c:v>out.2017</c:v>
                </c:pt>
                <c:pt idx="11">
                  <c:v>nov.2017</c:v>
                </c:pt>
                <c:pt idx="12">
                  <c:v>dez.2017</c:v>
                </c:pt>
              </c:strCache>
            </c:strRef>
          </c:cat>
          <c:val>
            <c:numRef>
              <c:f>'2017'!$B$61:$N$61</c:f>
              <c:numCache>
                <c:formatCode>_-* #,##0_-;\-* #,##0_-;_-* "-"??_-;_-@_-</c:formatCode>
                <c:ptCount val="13"/>
                <c:pt idx="0" formatCode="#,##0">
                  <c:v>120768.85079999996</c:v>
                </c:pt>
                <c:pt idx="1">
                  <c:v>148072.39490000001</c:v>
                </c:pt>
                <c:pt idx="2" formatCode="#,##0">
                  <c:v>116328.35059999998</c:v>
                </c:pt>
                <c:pt idx="3" formatCode="#,##0">
                  <c:v>133541.6501</c:v>
                </c:pt>
                <c:pt idx="4">
                  <c:v>103822.24020000001</c:v>
                </c:pt>
                <c:pt idx="5" formatCode="#,##0">
                  <c:v>205432.46899999998</c:v>
                </c:pt>
                <c:pt idx="6" formatCode="#,##0">
                  <c:v>125653.27409999994</c:v>
                </c:pt>
                <c:pt idx="7" formatCode="#,##0">
                  <c:v>142713.14169999998</c:v>
                </c:pt>
                <c:pt idx="8">
                  <c:v>0</c:v>
                </c:pt>
                <c:pt idx="9">
                  <c:v>150206.14889999988</c:v>
                </c:pt>
                <c:pt idx="10" formatCode="#,##0">
                  <c:v>150771.55590000001</c:v>
                </c:pt>
                <c:pt idx="11">
                  <c:v>108047.00550000003</c:v>
                </c:pt>
                <c:pt idx="12">
                  <c:v>111013.58696999999</c:v>
                </c:pt>
              </c:numCache>
            </c:numRef>
          </c:val>
        </c:ser>
        <c:ser>
          <c:idx val="1"/>
          <c:order val="1"/>
          <c:tx>
            <c:strRef>
              <c:f>'2017'!$A$62</c:f>
              <c:strCache>
                <c:ptCount val="1"/>
                <c:pt idx="0">
                  <c:v>De Fora da Bahia</c:v>
                </c:pt>
              </c:strCache>
            </c:strRef>
          </c:tx>
          <c:cat>
            <c:strRef>
              <c:f>'2017'!$B$60:$N$60</c:f>
              <c:strCache>
                <c:ptCount val="13"/>
                <c:pt idx="0">
                  <c:v>dez.2016</c:v>
                </c:pt>
                <c:pt idx="1">
                  <c:v>jan.2017</c:v>
                </c:pt>
                <c:pt idx="2">
                  <c:v>fev.2017</c:v>
                </c:pt>
                <c:pt idx="3">
                  <c:v>mar.2017</c:v>
                </c:pt>
                <c:pt idx="4">
                  <c:v>abr.2017</c:v>
                </c:pt>
                <c:pt idx="5">
                  <c:v>mai.2017</c:v>
                </c:pt>
                <c:pt idx="6">
                  <c:v>jun.2017</c:v>
                </c:pt>
                <c:pt idx="7">
                  <c:v>jul.2017</c:v>
                </c:pt>
                <c:pt idx="8">
                  <c:v>ago.2017</c:v>
                </c:pt>
                <c:pt idx="9">
                  <c:v>set.2017</c:v>
                </c:pt>
                <c:pt idx="10">
                  <c:v>out.2017</c:v>
                </c:pt>
                <c:pt idx="11">
                  <c:v>nov.2017</c:v>
                </c:pt>
                <c:pt idx="12">
                  <c:v>dez.2017</c:v>
                </c:pt>
              </c:strCache>
            </c:strRef>
          </c:cat>
          <c:val>
            <c:numRef>
              <c:f>'2017'!$B$62:$N$62</c:f>
              <c:numCache>
                <c:formatCode>#,##0</c:formatCode>
                <c:ptCount val="13"/>
                <c:pt idx="0">
                  <c:v>97119.922999999952</c:v>
                </c:pt>
                <c:pt idx="1">
                  <c:v>65622.38499999998</c:v>
                </c:pt>
                <c:pt idx="2">
                  <c:v>43202.742000000027</c:v>
                </c:pt>
                <c:pt idx="3">
                  <c:v>52132.535999999993</c:v>
                </c:pt>
                <c:pt idx="4" formatCode="_-* #,##0_-;\-* #,##0_-;_-* &quot;-&quot;??_-;_-@_-">
                  <c:v>35893.608999999997</c:v>
                </c:pt>
                <c:pt idx="5">
                  <c:v>46263.953000000023</c:v>
                </c:pt>
                <c:pt idx="6">
                  <c:v>69790.646999999997</c:v>
                </c:pt>
                <c:pt idx="7">
                  <c:v>51257.440000000053</c:v>
                </c:pt>
                <c:pt idx="8" formatCode="_-* #,##0_-;\-* #,##0_-;_-* &quot;-&quot;??_-;_-@_-">
                  <c:v>0</c:v>
                </c:pt>
                <c:pt idx="9" formatCode="_-* #,##0_-;\-* #,##0_-;_-* &quot;-&quot;??_-;_-@_-">
                  <c:v>64792.858000000015</c:v>
                </c:pt>
                <c:pt idx="10">
                  <c:v>70389.875999999989</c:v>
                </c:pt>
                <c:pt idx="11" formatCode="_-* #,##0_-;\-* #,##0_-;_-* &quot;-&quot;??_-;_-@_-">
                  <c:v>95640.385000000009</c:v>
                </c:pt>
                <c:pt idx="12" formatCode="_-* #,##0_-;\-* #,##0_-;_-* &quot;-&quot;??_-;_-@_-">
                  <c:v>51327.400999999969</c:v>
                </c:pt>
              </c:numCache>
            </c:numRef>
          </c:val>
        </c:ser>
        <c:gapWidth val="75"/>
        <c:overlap val="100"/>
        <c:axId val="115531136"/>
        <c:axId val="115553408"/>
      </c:barChart>
      <c:catAx>
        <c:axId val="115531136"/>
        <c:scaling>
          <c:orientation val="minMax"/>
        </c:scaling>
        <c:axPos val="b"/>
        <c:numFmt formatCode="mmm/yy" sourceLinked="1"/>
        <c:majorTickMark val="none"/>
        <c:tickLblPos val="nextTo"/>
        <c:crossAx val="115553408"/>
        <c:crosses val="autoZero"/>
        <c:auto val="1"/>
        <c:lblAlgn val="ctr"/>
        <c:lblOffset val="100"/>
      </c:catAx>
      <c:valAx>
        <c:axId val="115553408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9525">
            <a:noFill/>
          </a:ln>
        </c:spPr>
        <c:crossAx val="11553113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247" footer="0.31496062000000247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Participação</a:t>
            </a:r>
            <a:r>
              <a:rPr lang="en-US" baseline="0"/>
              <a:t> da Bahia no Comex Brasil</a:t>
            </a:r>
          </a:p>
          <a:p>
            <a:pPr>
              <a:defRPr/>
            </a:pPr>
            <a:r>
              <a:rPr lang="en-US" sz="1100" b="0" baseline="0"/>
              <a:t>Via Maritma - em tonelada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'2017'!$A$157</c:f>
              <c:strCache>
                <c:ptCount val="1"/>
                <c:pt idx="0">
                  <c:v>BA/BR %</c:v>
                </c:pt>
              </c:strCache>
            </c:strRef>
          </c:tx>
          <c:cat>
            <c:strRef>
              <c:f>'2017'!$B$154:$M$154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'2017'!$B$157:$M$157</c:f>
              <c:numCache>
                <c:formatCode>0.0%</c:formatCode>
                <c:ptCount val="12"/>
                <c:pt idx="0">
                  <c:v>4.1542126696364756E-2</c:v>
                </c:pt>
                <c:pt idx="1">
                  <c:v>2.2291331039009002E-2</c:v>
                </c:pt>
                <c:pt idx="2">
                  <c:v>2.4389153831889467E-2</c:v>
                </c:pt>
                <c:pt idx="3">
                  <c:v>5.7297314906459102E-3</c:v>
                </c:pt>
                <c:pt idx="4">
                  <c:v>3.7031335011480275E-3</c:v>
                </c:pt>
                <c:pt idx="5">
                  <c:v>5.7544213538065275E-3</c:v>
                </c:pt>
                <c:pt idx="6">
                  <c:v>5.6695384549303243E-3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marker val="1"/>
        <c:axId val="115581696"/>
        <c:axId val="115583232"/>
      </c:lineChart>
      <c:catAx>
        <c:axId val="115581696"/>
        <c:scaling>
          <c:orientation val="minMax"/>
        </c:scaling>
        <c:axPos val="b"/>
        <c:majorTickMark val="none"/>
        <c:tickLblPos val="nextTo"/>
        <c:crossAx val="115583232"/>
        <c:crosses val="autoZero"/>
        <c:auto val="1"/>
        <c:lblAlgn val="ctr"/>
        <c:lblOffset val="100"/>
      </c:catAx>
      <c:valAx>
        <c:axId val="115583232"/>
        <c:scaling>
          <c:orientation val="minMax"/>
        </c:scaling>
        <c:axPos val="l"/>
        <c:majorGridlines/>
        <c:numFmt formatCode="0.0%" sourceLinked="1"/>
        <c:majorTickMark val="none"/>
        <c:tickLblPos val="nextTo"/>
        <c:crossAx val="11558169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241" footer="0.31496062000000241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/>
              <a:t>Movimentação de Cargas Gerais - Via Marítima </a:t>
            </a:r>
          </a:p>
          <a:p>
            <a:pPr>
              <a:defRPr/>
            </a:pPr>
            <a:r>
              <a:rPr lang="pt-BR"/>
              <a:t>em toneladas</a:t>
            </a: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'2018'!$A$7</c:f>
              <c:strCache>
                <c:ptCount val="1"/>
                <c:pt idx="0">
                  <c:v>Da Bahia</c:v>
                </c:pt>
              </c:strCache>
            </c:strRef>
          </c:tx>
          <c:cat>
            <c:strRef>
              <c:f>'2018'!$B$5:$M$5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'2018'!$B$7:$M$7</c:f>
              <c:numCache>
                <c:formatCode>_-* #,##0_-;\-* #,##0_-;_-* "-"??_-;_-@_-</c:formatCode>
                <c:ptCount val="12"/>
                <c:pt idx="0">
                  <c:v>1099765.0219999996</c:v>
                </c:pt>
                <c:pt idx="1">
                  <c:v>712361.67799999984</c:v>
                </c:pt>
                <c:pt idx="2">
                  <c:v>971492.48300000012</c:v>
                </c:pt>
                <c:pt idx="3">
                  <c:v>1013793.287</c:v>
                </c:pt>
                <c:pt idx="4">
                  <c:v>911228.424</c:v>
                </c:pt>
                <c:pt idx="5">
                  <c:v>919334.902</c:v>
                </c:pt>
                <c:pt idx="6">
                  <c:v>2553548.3783999998</c:v>
                </c:pt>
              </c:numCache>
            </c:numRef>
          </c:val>
        </c:ser>
        <c:ser>
          <c:idx val="1"/>
          <c:order val="1"/>
          <c:tx>
            <c:strRef>
              <c:f>'2018'!$A$8</c:f>
              <c:strCache>
                <c:ptCount val="1"/>
                <c:pt idx="0">
                  <c:v>De Fora da Bahia</c:v>
                </c:pt>
              </c:strCache>
            </c:strRef>
          </c:tx>
          <c:cat>
            <c:strRef>
              <c:f>'2018'!$B$5:$M$5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'2018'!$B$8:$M$8</c:f>
              <c:numCache>
                <c:formatCode>_-* #,##0_-;\-* #,##0_-;_-* "-"??_-;_-@_-</c:formatCode>
                <c:ptCount val="12"/>
                <c:pt idx="0">
                  <c:v>371494.83300000004</c:v>
                </c:pt>
                <c:pt idx="1">
                  <c:v>363590.49599999993</c:v>
                </c:pt>
                <c:pt idx="2">
                  <c:v>418939.21900000004</c:v>
                </c:pt>
                <c:pt idx="3">
                  <c:v>298272.10400000005</c:v>
                </c:pt>
                <c:pt idx="4">
                  <c:v>242883.08600000001</c:v>
                </c:pt>
                <c:pt idx="5">
                  <c:v>400102.01699999999</c:v>
                </c:pt>
                <c:pt idx="6">
                  <c:v>133914.20859999998</c:v>
                </c:pt>
              </c:numCache>
            </c:numRef>
          </c:val>
        </c:ser>
        <c:overlap val="100"/>
        <c:axId val="115642752"/>
        <c:axId val="115644288"/>
      </c:barChart>
      <c:catAx>
        <c:axId val="11564275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15644288"/>
        <c:crosses val="autoZero"/>
        <c:auto val="1"/>
        <c:lblAlgn val="ctr"/>
        <c:lblOffset val="100"/>
      </c:catAx>
      <c:valAx>
        <c:axId val="115644288"/>
        <c:scaling>
          <c:orientation val="minMax"/>
          <c:max val="2500000"/>
        </c:scaling>
        <c:axPos val="l"/>
        <c:majorGridlines/>
        <c:numFmt formatCode="_-* #,##0_-;\-* #,##0_-;_-* &quot;-&quot;??_-;_-@_-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1564275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646" footer="0.31496062000000646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/>
              <a:t>Movimentação de Cargas Conteinerizadas - Via Marítima</a:t>
            </a:r>
          </a:p>
          <a:p>
            <a:pPr>
              <a:defRPr/>
            </a:pPr>
            <a:r>
              <a:rPr lang="pt-BR"/>
              <a:t>em toneladas </a:t>
            </a: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'2018'!$A$34</c:f>
              <c:strCache>
                <c:ptCount val="1"/>
                <c:pt idx="0">
                  <c:v>Da Bahia</c:v>
                </c:pt>
              </c:strCache>
            </c:strRef>
          </c:tx>
          <c:cat>
            <c:strRef>
              <c:f>'2018'!$B$32:$M$32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'2018'!$B$34:$M$34</c:f>
              <c:numCache>
                <c:formatCode>_-* #,##0_-;\-* #,##0_-;_-* "-"??_-;_-@_-</c:formatCode>
                <c:ptCount val="12"/>
                <c:pt idx="0">
                  <c:v>134810.27799999999</c:v>
                </c:pt>
                <c:pt idx="1">
                  <c:v>185477.39299999987</c:v>
                </c:pt>
                <c:pt idx="2">
                  <c:v>109705.23900000003</c:v>
                </c:pt>
                <c:pt idx="3">
                  <c:v>128761.20449999993</c:v>
                </c:pt>
                <c:pt idx="4">
                  <c:v>90568.792999999991</c:v>
                </c:pt>
                <c:pt idx="5">
                  <c:v>103696.42599999995</c:v>
                </c:pt>
                <c:pt idx="6">
                  <c:v>114064.73659999997</c:v>
                </c:pt>
              </c:numCache>
            </c:numRef>
          </c:val>
        </c:ser>
        <c:ser>
          <c:idx val="1"/>
          <c:order val="1"/>
          <c:tx>
            <c:strRef>
              <c:f>'2018'!$A$35</c:f>
              <c:strCache>
                <c:ptCount val="1"/>
                <c:pt idx="0">
                  <c:v>De Fora da Bahia</c:v>
                </c:pt>
              </c:strCache>
            </c:strRef>
          </c:tx>
          <c:cat>
            <c:strRef>
              <c:f>'2018'!$B$32:$M$32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'2018'!$B$35:$M$35</c:f>
              <c:numCache>
                <c:formatCode>_-* #,##0_-;\-* #,##0_-;_-* "-"??_-;_-@_-</c:formatCode>
                <c:ptCount val="12"/>
                <c:pt idx="0">
                  <c:v>54284.498000000043</c:v>
                </c:pt>
                <c:pt idx="1">
                  <c:v>52788.68799999998</c:v>
                </c:pt>
                <c:pt idx="2">
                  <c:v>60883.063000000002</c:v>
                </c:pt>
                <c:pt idx="3">
                  <c:v>54479.145000000026</c:v>
                </c:pt>
                <c:pt idx="4">
                  <c:v>40005.157000000007</c:v>
                </c:pt>
                <c:pt idx="5">
                  <c:v>48650.373000000014</c:v>
                </c:pt>
                <c:pt idx="6">
                  <c:v>19849.472000000002</c:v>
                </c:pt>
              </c:numCache>
            </c:numRef>
          </c:val>
        </c:ser>
        <c:overlap val="100"/>
        <c:axId val="115681536"/>
        <c:axId val="115683328"/>
      </c:barChart>
      <c:catAx>
        <c:axId val="11568153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15683328"/>
        <c:crosses val="autoZero"/>
        <c:auto val="1"/>
        <c:lblAlgn val="ctr"/>
        <c:lblOffset val="100"/>
      </c:catAx>
      <c:valAx>
        <c:axId val="115683328"/>
        <c:scaling>
          <c:orientation val="minMax"/>
        </c:scaling>
        <c:axPos val="l"/>
        <c:majorGridlines/>
        <c:numFmt formatCode="_-* #,##0_-;\-* #,##0_-;_-* &quot;-&quot;??_-;_-@_-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1568153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646" footer="0.31496062000000646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Evolução do Comex Baiano - 2018 - Via Marítima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em toneladas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6.5666498608334234E-2"/>
          <c:y val="0.22119607930364499"/>
          <c:w val="0.83698191599418348"/>
          <c:h val="0.69198036686092157"/>
        </c:manualLayout>
      </c:layout>
      <c:lineChart>
        <c:grouping val="standard"/>
        <c:ser>
          <c:idx val="0"/>
          <c:order val="0"/>
          <c:tx>
            <c:strRef>
              <c:f>'2018'!$A$85</c:f>
              <c:strCache>
                <c:ptCount val="1"/>
                <c:pt idx="0">
                  <c:v>Importação</c:v>
                </c:pt>
              </c:strCache>
            </c:strRef>
          </c:tx>
          <c:cat>
            <c:strRef>
              <c:f>'2018'!$B$83:$M$83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'2018'!$B$85:$M$85</c:f>
              <c:numCache>
                <c:formatCode>_-* #,##0_-;\-* #,##0_-;_-* "-"??_-;_-@_-</c:formatCode>
                <c:ptCount val="12"/>
                <c:pt idx="0">
                  <c:v>818977.0159999996</c:v>
                </c:pt>
                <c:pt idx="1">
                  <c:v>343843.74599999981</c:v>
                </c:pt>
                <c:pt idx="2">
                  <c:v>430393.10500000016</c:v>
                </c:pt>
                <c:pt idx="3">
                  <c:v>459732.74699999997</c:v>
                </c:pt>
                <c:pt idx="4">
                  <c:v>284922.23800000001</c:v>
                </c:pt>
                <c:pt idx="5">
                  <c:v>529465.20499999984</c:v>
                </c:pt>
                <c:pt idx="6">
                  <c:v>1512828.1849999996</c:v>
                </c:pt>
              </c:numCache>
            </c:numRef>
          </c:val>
        </c:ser>
        <c:ser>
          <c:idx val="1"/>
          <c:order val="1"/>
          <c:tx>
            <c:strRef>
              <c:f>'2018'!$A$86</c:f>
              <c:strCache>
                <c:ptCount val="1"/>
                <c:pt idx="0">
                  <c:v>Exportação</c:v>
                </c:pt>
              </c:strCache>
            </c:strRef>
          </c:tx>
          <c:cat>
            <c:strRef>
              <c:f>'2018'!$B$83:$M$83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'2018'!$B$86:$M$86</c:f>
              <c:numCache>
                <c:formatCode>_-* #,##0_-;\-* #,##0_-;_-* "-"??_-;_-@_-</c:formatCode>
                <c:ptCount val="12"/>
                <c:pt idx="0">
                  <c:v>652282.83900000004</c:v>
                </c:pt>
                <c:pt idx="1">
                  <c:v>732108.42799999996</c:v>
                </c:pt>
                <c:pt idx="2">
                  <c:v>960038.59700000007</c:v>
                </c:pt>
                <c:pt idx="3">
                  <c:v>852332.64399999997</c:v>
                </c:pt>
                <c:pt idx="4">
                  <c:v>869189.27200000011</c:v>
                </c:pt>
                <c:pt idx="5">
                  <c:v>789971.71400000004</c:v>
                </c:pt>
                <c:pt idx="6">
                  <c:v>1174634.4020000002</c:v>
                </c:pt>
              </c:numCache>
            </c:numRef>
          </c:val>
        </c:ser>
        <c:marker val="1"/>
        <c:axId val="112984448"/>
        <c:axId val="112985984"/>
      </c:lineChart>
      <c:catAx>
        <c:axId val="11298444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2985984"/>
        <c:crosses val="autoZero"/>
        <c:auto val="1"/>
        <c:lblAlgn val="ctr"/>
        <c:lblOffset val="100"/>
      </c:catAx>
      <c:valAx>
        <c:axId val="112985984"/>
        <c:scaling>
          <c:orientation val="minMax"/>
        </c:scaling>
        <c:axPos val="l"/>
        <c:majorGridlines/>
        <c:numFmt formatCode="_-* #,##0_-;\-* #,##0_-;_-* &quot;-&quot;??_-;_-@_-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2984448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424" footer="0.31496062000000424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Participação da Bahia nas Exportações do Brasil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Via Marítima - em toneladas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 sz="18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3.7301875171740891E-2"/>
          <c:y val="0.21986615017174299"/>
          <c:w val="0.880276540933149"/>
          <c:h val="0.62975955979779064"/>
        </c:manualLayout>
      </c:layout>
      <c:lineChart>
        <c:grouping val="standard"/>
        <c:ser>
          <c:idx val="0"/>
          <c:order val="0"/>
          <c:tx>
            <c:strRef>
              <c:f>'2018'!$A$110</c:f>
              <c:strCache>
                <c:ptCount val="1"/>
                <c:pt idx="0">
                  <c:v>BA/BR %</c:v>
                </c:pt>
              </c:strCache>
            </c:strRef>
          </c:tx>
          <c:cat>
            <c:strRef>
              <c:f>'2018'!$B$107:$M$107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'2018'!$B$110:$M$110</c:f>
              <c:numCache>
                <c:formatCode>0.0%</c:formatCode>
                <c:ptCount val="12"/>
                <c:pt idx="0">
                  <c:v>1.2730408157046102E-2</c:v>
                </c:pt>
                <c:pt idx="1">
                  <c:v>1.7743109364936387E-2</c:v>
                </c:pt>
                <c:pt idx="2">
                  <c:v>1.7596363314476372E-2</c:v>
                </c:pt>
                <c:pt idx="3">
                  <c:v>1.6911929421638904E-2</c:v>
                </c:pt>
                <c:pt idx="4">
                  <c:v>2.6237868378005236E-2</c:v>
                </c:pt>
                <c:pt idx="5">
                  <c:v>2.8664393092628637E-2</c:v>
                </c:pt>
                <c:pt idx="6">
                  <c:v>4.3033901563134802E-2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marker val="1"/>
        <c:axId val="113001984"/>
        <c:axId val="113003520"/>
      </c:lineChart>
      <c:catAx>
        <c:axId val="11300198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3003520"/>
        <c:crosses val="autoZero"/>
        <c:auto val="1"/>
        <c:lblAlgn val="ctr"/>
        <c:lblOffset val="100"/>
      </c:catAx>
      <c:valAx>
        <c:axId val="113003520"/>
        <c:scaling>
          <c:orientation val="minMax"/>
          <c:max val="3.0000000000000016E-2"/>
          <c:min val="1.0000000000000005E-2"/>
        </c:scaling>
        <c:axPos val="l"/>
        <c:majorGridlines/>
        <c:numFmt formatCode="0.0%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3001984"/>
        <c:crosses val="autoZero"/>
        <c:crossBetween val="between"/>
      </c:valAx>
    </c:plotArea>
    <c:legend>
      <c:legendPos val="r"/>
      <c:layout/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424" footer="0.31496062000000424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Participação da Bahia nas Importações do Brasil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Via Marítima - em toneladas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2.8546223747628389E-2"/>
          <c:y val="0.187889658444758"/>
          <c:w val="0.89036585030729742"/>
          <c:h val="0.70964943183410889"/>
        </c:manualLayout>
      </c:layout>
      <c:lineChart>
        <c:grouping val="standard"/>
        <c:ser>
          <c:idx val="0"/>
          <c:order val="0"/>
          <c:tx>
            <c:strRef>
              <c:f>'2016'!$A$157</c:f>
              <c:strCache>
                <c:ptCount val="1"/>
                <c:pt idx="0">
                  <c:v>BA/BR %</c:v>
                </c:pt>
              </c:strCache>
            </c:strRef>
          </c:tx>
          <c:cat>
            <c:strRef>
              <c:f>'2016'!$B$129:$M$129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'2017'!$B$132:$H$132</c:f>
              <c:numCache>
                <c:formatCode>0.0%</c:formatCode>
                <c:ptCount val="7"/>
                <c:pt idx="0">
                  <c:v>0.13393601004615607</c:v>
                </c:pt>
                <c:pt idx="1">
                  <c:v>5.8917634276010128E-2</c:v>
                </c:pt>
                <c:pt idx="2">
                  <c:v>7.3823373248110807E-2</c:v>
                </c:pt>
                <c:pt idx="3">
                  <c:v>3.0872920971245884E-2</c:v>
                </c:pt>
                <c:pt idx="4">
                  <c:v>2.0998232834071383E-2</c:v>
                </c:pt>
                <c:pt idx="5">
                  <c:v>3.3180229215935303E-2</c:v>
                </c:pt>
                <c:pt idx="6">
                  <c:v>3.1753840099312002E-2</c:v>
                </c:pt>
              </c:numCache>
            </c:numRef>
          </c:val>
        </c:ser>
        <c:marker val="1"/>
        <c:axId val="115751552"/>
        <c:axId val="115757440"/>
      </c:lineChart>
      <c:catAx>
        <c:axId val="115751552"/>
        <c:scaling>
          <c:orientation val="minMax"/>
        </c:scaling>
        <c:axPos val="b"/>
        <c:numFmt formatCode="0.0%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5757440"/>
        <c:crosses val="autoZero"/>
        <c:auto val="1"/>
        <c:lblAlgn val="ctr"/>
        <c:lblOffset val="100"/>
      </c:catAx>
      <c:valAx>
        <c:axId val="115757440"/>
        <c:scaling>
          <c:orientation val="minMax"/>
          <c:min val="0"/>
        </c:scaling>
        <c:axPos val="l"/>
        <c:majorGridlines/>
        <c:numFmt formatCode="0%" sourceLinked="0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15751552"/>
        <c:crosses val="autoZero"/>
        <c:crossBetween val="between"/>
      </c:valAx>
    </c:plotArea>
    <c:legend>
      <c:legendPos val="r"/>
      <c:layout/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424" footer="0.3149606200000042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Evolução do Comex Baiano - 2010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Via Marítima - Toneladas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v>Importação</c:v>
          </c:tx>
          <c:cat>
            <c:strRef>
              <c:f>'2010'!$B$57:$M$57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'2010'!$B$59:$M$59</c:f>
              <c:numCache>
                <c:formatCode>_-* #,##0_-;\-* #,##0_-;_-* "-"??_-;_-@_-</c:formatCode>
                <c:ptCount val="12"/>
                <c:pt idx="0">
                  <c:v>413101</c:v>
                </c:pt>
                <c:pt idx="1">
                  <c:v>410946</c:v>
                </c:pt>
                <c:pt idx="2">
                  <c:v>506850</c:v>
                </c:pt>
                <c:pt idx="3">
                  <c:v>449462</c:v>
                </c:pt>
                <c:pt idx="4">
                  <c:v>418006</c:v>
                </c:pt>
                <c:pt idx="5">
                  <c:v>392920</c:v>
                </c:pt>
                <c:pt idx="6">
                  <c:v>463366</c:v>
                </c:pt>
                <c:pt idx="7">
                  <c:v>468375</c:v>
                </c:pt>
                <c:pt idx="8">
                  <c:v>542198</c:v>
                </c:pt>
                <c:pt idx="9">
                  <c:v>410510</c:v>
                </c:pt>
                <c:pt idx="10">
                  <c:v>469813</c:v>
                </c:pt>
                <c:pt idx="11">
                  <c:v>333371</c:v>
                </c:pt>
              </c:numCache>
            </c:numRef>
          </c:val>
        </c:ser>
        <c:ser>
          <c:idx val="1"/>
          <c:order val="1"/>
          <c:tx>
            <c:v>Exportação</c:v>
          </c:tx>
          <c:cat>
            <c:strRef>
              <c:f>'2010'!$B$57:$M$57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'2010'!$B$60:$M$60</c:f>
              <c:numCache>
                <c:formatCode>_-* #,##0_-;\-* #,##0_-;_-* "-"??_-;_-@_-</c:formatCode>
                <c:ptCount val="12"/>
                <c:pt idx="0">
                  <c:v>1082656</c:v>
                </c:pt>
                <c:pt idx="1">
                  <c:v>560897</c:v>
                </c:pt>
                <c:pt idx="2">
                  <c:v>803281</c:v>
                </c:pt>
                <c:pt idx="3">
                  <c:v>795466</c:v>
                </c:pt>
                <c:pt idx="4">
                  <c:v>1026924</c:v>
                </c:pt>
                <c:pt idx="5">
                  <c:v>1024588</c:v>
                </c:pt>
                <c:pt idx="6">
                  <c:v>962456</c:v>
                </c:pt>
                <c:pt idx="7">
                  <c:v>1114410</c:v>
                </c:pt>
                <c:pt idx="8">
                  <c:v>1121377</c:v>
                </c:pt>
                <c:pt idx="9">
                  <c:v>789044</c:v>
                </c:pt>
                <c:pt idx="10">
                  <c:v>681478</c:v>
                </c:pt>
                <c:pt idx="11">
                  <c:v>774296</c:v>
                </c:pt>
              </c:numCache>
            </c:numRef>
          </c:val>
        </c:ser>
        <c:marker val="1"/>
        <c:axId val="33634176"/>
        <c:axId val="33635712"/>
      </c:lineChart>
      <c:catAx>
        <c:axId val="336341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33635712"/>
        <c:crosses val="autoZero"/>
        <c:auto val="1"/>
        <c:lblAlgn val="ctr"/>
        <c:lblOffset val="100"/>
      </c:catAx>
      <c:valAx>
        <c:axId val="33635712"/>
        <c:scaling>
          <c:orientation val="minMax"/>
        </c:scaling>
        <c:axPos val="l"/>
        <c:majorGridlines/>
        <c:numFmt formatCode="_-* #,##0_-;\-* #,##0_-;_-* &quot;-&quot;??_-;_-@_-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33634176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491" footer="0.31496062000000491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 sz="1800"/>
              <a:t>Comércio</a:t>
            </a:r>
            <a:r>
              <a:rPr lang="pt-BR" sz="1800" baseline="0"/>
              <a:t> Exterior Baiano</a:t>
            </a:r>
          </a:p>
          <a:p>
            <a:pPr>
              <a:defRPr/>
            </a:pPr>
            <a:r>
              <a:rPr lang="pt-BR" sz="1200" b="0" baseline="0"/>
              <a:t>Cargas conteinerizadas - em toneladas</a:t>
            </a:r>
            <a:endParaRPr lang="pt-BR" sz="1200" b="0"/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'2018'!$A$61</c:f>
              <c:strCache>
                <c:ptCount val="1"/>
                <c:pt idx="0">
                  <c:v>Da Bahia</c:v>
                </c:pt>
              </c:strCache>
            </c:strRef>
          </c:tx>
          <c:cat>
            <c:strRef>
              <c:f>'2018'!$B$60:$N$60</c:f>
              <c:strCache>
                <c:ptCount val="13"/>
                <c:pt idx="0">
                  <c:v>jul.2017</c:v>
                </c:pt>
                <c:pt idx="1">
                  <c:v>ago.2017</c:v>
                </c:pt>
                <c:pt idx="2">
                  <c:v>set.2017</c:v>
                </c:pt>
                <c:pt idx="3">
                  <c:v>out.2017</c:v>
                </c:pt>
                <c:pt idx="4">
                  <c:v>nov.2017</c:v>
                </c:pt>
                <c:pt idx="5">
                  <c:v>dez.2017</c:v>
                </c:pt>
                <c:pt idx="6">
                  <c:v>jan.2018</c:v>
                </c:pt>
                <c:pt idx="7">
                  <c:v>fev.2018</c:v>
                </c:pt>
                <c:pt idx="8">
                  <c:v>mar.2018</c:v>
                </c:pt>
                <c:pt idx="9">
                  <c:v>abr.2018</c:v>
                </c:pt>
                <c:pt idx="10">
                  <c:v>mai.2018</c:v>
                </c:pt>
                <c:pt idx="11">
                  <c:v>jun.2018</c:v>
                </c:pt>
                <c:pt idx="12">
                  <c:v>jul.2018</c:v>
                </c:pt>
              </c:strCache>
            </c:strRef>
          </c:cat>
          <c:val>
            <c:numRef>
              <c:f>'2018'!$B$61:$N$61</c:f>
              <c:numCache>
                <c:formatCode>_-* #,##0_-;\-* #,##0_-;_-* "-"??_-;_-@_-</c:formatCode>
                <c:ptCount val="13"/>
                <c:pt idx="0" formatCode="#,##0">
                  <c:v>142713.14169999998</c:v>
                </c:pt>
                <c:pt idx="1">
                  <c:v>122856.33039999995</c:v>
                </c:pt>
                <c:pt idx="2">
                  <c:v>150206.14889999988</c:v>
                </c:pt>
                <c:pt idx="3" formatCode="#,##0">
                  <c:v>150771.55590000001</c:v>
                </c:pt>
                <c:pt idx="4">
                  <c:v>108047.00550000003</c:v>
                </c:pt>
                <c:pt idx="5">
                  <c:v>111013.58696999999</c:v>
                </c:pt>
                <c:pt idx="6" formatCode="#,##0">
                  <c:v>134810.27799999999</c:v>
                </c:pt>
                <c:pt idx="7">
                  <c:v>185477.39299999987</c:v>
                </c:pt>
                <c:pt idx="8">
                  <c:v>109705.23900000003</c:v>
                </c:pt>
                <c:pt idx="9" formatCode="#,##0">
                  <c:v>128761.20449999993</c:v>
                </c:pt>
                <c:pt idx="10">
                  <c:v>90568.792999999991</c:v>
                </c:pt>
                <c:pt idx="11">
                  <c:v>103696.42599999995</c:v>
                </c:pt>
                <c:pt idx="12">
                  <c:v>114064.73659999997</c:v>
                </c:pt>
              </c:numCache>
            </c:numRef>
          </c:val>
        </c:ser>
        <c:ser>
          <c:idx val="1"/>
          <c:order val="1"/>
          <c:tx>
            <c:strRef>
              <c:f>'2018'!$A$62</c:f>
              <c:strCache>
                <c:ptCount val="1"/>
                <c:pt idx="0">
                  <c:v>De Fora da Bahia</c:v>
                </c:pt>
              </c:strCache>
            </c:strRef>
          </c:tx>
          <c:cat>
            <c:strRef>
              <c:f>'2018'!$B$60:$N$60</c:f>
              <c:strCache>
                <c:ptCount val="13"/>
                <c:pt idx="0">
                  <c:v>jul.2017</c:v>
                </c:pt>
                <c:pt idx="1">
                  <c:v>ago.2017</c:v>
                </c:pt>
                <c:pt idx="2">
                  <c:v>set.2017</c:v>
                </c:pt>
                <c:pt idx="3">
                  <c:v>out.2017</c:v>
                </c:pt>
                <c:pt idx="4">
                  <c:v>nov.2017</c:v>
                </c:pt>
                <c:pt idx="5">
                  <c:v>dez.2017</c:v>
                </c:pt>
                <c:pt idx="6">
                  <c:v>jan.2018</c:v>
                </c:pt>
                <c:pt idx="7">
                  <c:v>fev.2018</c:v>
                </c:pt>
                <c:pt idx="8">
                  <c:v>mar.2018</c:v>
                </c:pt>
                <c:pt idx="9">
                  <c:v>abr.2018</c:v>
                </c:pt>
                <c:pt idx="10">
                  <c:v>mai.2018</c:v>
                </c:pt>
                <c:pt idx="11">
                  <c:v>jun.2018</c:v>
                </c:pt>
                <c:pt idx="12">
                  <c:v>jul.2018</c:v>
                </c:pt>
              </c:strCache>
            </c:strRef>
          </c:cat>
          <c:val>
            <c:numRef>
              <c:f>'2018'!$B$62:$N$62</c:f>
              <c:numCache>
                <c:formatCode>_-* #,##0_-;\-* #,##0_-;_-* "-"??_-;_-@_-</c:formatCode>
                <c:ptCount val="13"/>
                <c:pt idx="0" formatCode="#,##0">
                  <c:v>51257.440000000053</c:v>
                </c:pt>
                <c:pt idx="1">
                  <c:v>60848.203999999998</c:v>
                </c:pt>
                <c:pt idx="2">
                  <c:v>64792.858000000015</c:v>
                </c:pt>
                <c:pt idx="3" formatCode="#,##0">
                  <c:v>70389.875999999989</c:v>
                </c:pt>
                <c:pt idx="4">
                  <c:v>95640.385000000009</c:v>
                </c:pt>
                <c:pt idx="5">
                  <c:v>51327.400999999969</c:v>
                </c:pt>
                <c:pt idx="6" formatCode="#,##0">
                  <c:v>54284.498000000043</c:v>
                </c:pt>
                <c:pt idx="7">
                  <c:v>52788.68799999998</c:v>
                </c:pt>
                <c:pt idx="8">
                  <c:v>60883.063000000002</c:v>
                </c:pt>
                <c:pt idx="9" formatCode="#,##0">
                  <c:v>54479.145000000026</c:v>
                </c:pt>
                <c:pt idx="10">
                  <c:v>40005.157000000007</c:v>
                </c:pt>
                <c:pt idx="11">
                  <c:v>48650.373000000014</c:v>
                </c:pt>
                <c:pt idx="12">
                  <c:v>19849.472000000002</c:v>
                </c:pt>
              </c:numCache>
            </c:numRef>
          </c:val>
        </c:ser>
        <c:gapWidth val="75"/>
        <c:overlap val="100"/>
        <c:axId val="115768704"/>
        <c:axId val="115782784"/>
      </c:barChart>
      <c:catAx>
        <c:axId val="115768704"/>
        <c:scaling>
          <c:orientation val="minMax"/>
        </c:scaling>
        <c:axPos val="b"/>
        <c:numFmt formatCode="mmm/yy" sourceLinked="1"/>
        <c:majorTickMark val="none"/>
        <c:tickLblPos val="nextTo"/>
        <c:crossAx val="115782784"/>
        <c:crosses val="autoZero"/>
        <c:auto val="1"/>
        <c:lblAlgn val="ctr"/>
        <c:lblOffset val="100"/>
      </c:catAx>
      <c:valAx>
        <c:axId val="115782784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9525">
            <a:noFill/>
          </a:ln>
        </c:spPr>
        <c:crossAx val="11576870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258" footer="0.31496062000000258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Participação</a:t>
            </a:r>
            <a:r>
              <a:rPr lang="en-US" baseline="0"/>
              <a:t> da Bahia no Comex Brasil</a:t>
            </a:r>
          </a:p>
          <a:p>
            <a:pPr>
              <a:defRPr/>
            </a:pPr>
            <a:r>
              <a:rPr lang="en-US" sz="1100" b="0" baseline="0"/>
              <a:t>Via Maritma - em tonelada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'2018'!$A$157</c:f>
              <c:strCache>
                <c:ptCount val="1"/>
                <c:pt idx="0">
                  <c:v>BA/BR %</c:v>
                </c:pt>
              </c:strCache>
            </c:strRef>
          </c:tx>
          <c:cat>
            <c:strRef>
              <c:f>'2018'!$B$154:$M$154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'2018'!$B$157:$H$157</c:f>
              <c:numCache>
                <c:formatCode>0.0%</c:formatCode>
                <c:ptCount val="7"/>
                <c:pt idx="0">
                  <c:v>2.3311623758318852E-2</c:v>
                </c:pt>
                <c:pt idx="1">
                  <c:v>2.0953687064432392E-2</c:v>
                </c:pt>
                <c:pt idx="2">
                  <c:v>2.1358721211852571E-2</c:v>
                </c:pt>
                <c:pt idx="3">
                  <c:v>2.1530060340308001E-2</c:v>
                </c:pt>
                <c:pt idx="4">
                  <c:v>2.6561680128077258E-2</c:v>
                </c:pt>
                <c:pt idx="5">
                  <c:v>3.4795095943180164E-2</c:v>
                </c:pt>
                <c:pt idx="6">
                  <c:v>6.785049541910701E-2</c:v>
                </c:pt>
              </c:numCache>
            </c:numRef>
          </c:val>
        </c:ser>
        <c:marker val="1"/>
        <c:axId val="115811072"/>
        <c:axId val="115812608"/>
      </c:lineChart>
      <c:catAx>
        <c:axId val="115811072"/>
        <c:scaling>
          <c:orientation val="minMax"/>
        </c:scaling>
        <c:axPos val="b"/>
        <c:majorTickMark val="none"/>
        <c:tickLblPos val="nextTo"/>
        <c:crossAx val="115812608"/>
        <c:crosses val="autoZero"/>
        <c:auto val="1"/>
        <c:lblAlgn val="ctr"/>
        <c:lblOffset val="100"/>
      </c:catAx>
      <c:valAx>
        <c:axId val="115812608"/>
        <c:scaling>
          <c:orientation val="minMax"/>
        </c:scaling>
        <c:axPos val="l"/>
        <c:majorGridlines/>
        <c:numFmt formatCode="0.0%" sourceLinked="1"/>
        <c:majorTickMark val="none"/>
        <c:tickLblPos val="nextTo"/>
        <c:crossAx val="11581107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/>
              <a:t>Movimentação de Cargas Gerais - Via Marítima </a:t>
            </a:r>
          </a:p>
          <a:p>
            <a:pPr>
              <a:defRPr/>
            </a:pPr>
            <a:r>
              <a:rPr lang="pt-BR"/>
              <a:t>em toneladas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6.3642534495100336E-2"/>
          <c:y val="0.27565876121772465"/>
          <c:w val="0.82387077399024178"/>
          <c:h val="0.64429471765131641"/>
        </c:manualLayout>
      </c:layout>
      <c:barChart>
        <c:barDir val="col"/>
        <c:grouping val="stacked"/>
        <c:ser>
          <c:idx val="0"/>
          <c:order val="0"/>
          <c:tx>
            <c:strRef>
              <c:f>'Resumo Anual'!$A$7</c:f>
              <c:strCache>
                <c:ptCount val="1"/>
                <c:pt idx="0">
                  <c:v>Da Bahia</c:v>
                </c:pt>
              </c:strCache>
            </c:strRef>
          </c:tx>
          <c:cat>
            <c:strRef>
              <c:f>'Resumo Anual'!$B$5:$L$5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 (1)</c:v>
                </c:pt>
              </c:strCache>
            </c:strRef>
          </c:cat>
          <c:val>
            <c:numRef>
              <c:f>'Resumo Anual'!$B$7:$K$7</c:f>
              <c:numCache>
                <c:formatCode>_-* #,##0_-;\-* #,##0_-;_-* "-"??_-;_-@_-</c:formatCode>
                <c:ptCount val="10"/>
                <c:pt idx="0">
                  <c:v>11197456.582000002</c:v>
                </c:pt>
                <c:pt idx="1">
                  <c:v>10399671.380000003</c:v>
                </c:pt>
                <c:pt idx="2">
                  <c:v>12444830</c:v>
                </c:pt>
                <c:pt idx="3">
                  <c:v>12583963</c:v>
                </c:pt>
                <c:pt idx="4">
                  <c:v>12812454.742000001</c:v>
                </c:pt>
                <c:pt idx="5">
                  <c:v>12403232.181999998</c:v>
                </c:pt>
                <c:pt idx="6">
                  <c:v>13764231.706000002</c:v>
                </c:pt>
                <c:pt idx="7">
                  <c:v>16255145.243000001</c:v>
                </c:pt>
                <c:pt idx="8">
                  <c:v>14254226.077</c:v>
                </c:pt>
                <c:pt idx="9">
                  <c:v>17240753.473999999</c:v>
                </c:pt>
              </c:numCache>
            </c:numRef>
          </c:val>
        </c:ser>
        <c:ser>
          <c:idx val="1"/>
          <c:order val="1"/>
          <c:tx>
            <c:strRef>
              <c:f>'Resumo Anual'!$A$8</c:f>
              <c:strCache>
                <c:ptCount val="1"/>
                <c:pt idx="0">
                  <c:v>De Fora da Bahia</c:v>
                </c:pt>
              </c:strCache>
            </c:strRef>
          </c:tx>
          <c:cat>
            <c:strRef>
              <c:f>'Resumo Anual'!$B$5:$L$5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 (1)</c:v>
                </c:pt>
              </c:strCache>
            </c:strRef>
          </c:cat>
          <c:val>
            <c:numRef>
              <c:f>'Resumo Anual'!$B$8:$K$8</c:f>
              <c:numCache>
                <c:formatCode>_-* #,##0_-;\-* #,##0_-;_-* "-"??_-;_-@_-</c:formatCode>
                <c:ptCount val="10"/>
                <c:pt idx="0">
                  <c:v>3193126.7450000006</c:v>
                </c:pt>
                <c:pt idx="1">
                  <c:v>3436917.8869999996</c:v>
                </c:pt>
                <c:pt idx="2">
                  <c:v>3612374</c:v>
                </c:pt>
                <c:pt idx="3">
                  <c:v>3685148</c:v>
                </c:pt>
                <c:pt idx="4">
                  <c:v>3798354.8089999999</c:v>
                </c:pt>
                <c:pt idx="5">
                  <c:v>3360816.0279999999</c:v>
                </c:pt>
                <c:pt idx="6">
                  <c:v>3617489.2470000004</c:v>
                </c:pt>
                <c:pt idx="7">
                  <c:v>3959273.9250000003</c:v>
                </c:pt>
                <c:pt idx="8">
                  <c:v>3766941.7209999994</c:v>
                </c:pt>
                <c:pt idx="9">
                  <c:v>3681900.6390000004</c:v>
                </c:pt>
              </c:numCache>
            </c:numRef>
          </c:val>
        </c:ser>
        <c:overlap val="100"/>
        <c:axId val="116023680"/>
        <c:axId val="116025216"/>
      </c:barChart>
      <c:catAx>
        <c:axId val="11602368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16025216"/>
        <c:crosses val="autoZero"/>
        <c:auto val="1"/>
        <c:lblAlgn val="ctr"/>
        <c:lblOffset val="100"/>
      </c:catAx>
      <c:valAx>
        <c:axId val="116025216"/>
        <c:scaling>
          <c:orientation val="minMax"/>
        </c:scaling>
        <c:axPos val="l"/>
        <c:majorGridlines/>
        <c:numFmt formatCode="_-* #,##0_-;\-* #,##0_-;_-* &quot;-&quot;??_-;_-@_-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1602368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602" footer="0.3149606200000060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/>
              <a:t>Movimentação de Cargas Conteinerizadas - Via Marítima</a:t>
            </a:r>
          </a:p>
          <a:p>
            <a:pPr>
              <a:defRPr/>
            </a:pPr>
            <a:r>
              <a:rPr lang="pt-BR"/>
              <a:t>em toneladas </a:t>
            </a: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'Resumo Anual'!$A$34</c:f>
              <c:strCache>
                <c:ptCount val="1"/>
                <c:pt idx="0">
                  <c:v>Da Bahia</c:v>
                </c:pt>
              </c:strCache>
            </c:strRef>
          </c:tx>
          <c:cat>
            <c:strRef>
              <c:f>'Resumo Anual'!$B$32:$L$32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 (1)</c:v>
                </c:pt>
              </c:strCache>
            </c:strRef>
          </c:cat>
          <c:val>
            <c:numRef>
              <c:f>'Resumo Anual'!$B$34:$K$34</c:f>
              <c:numCache>
                <c:formatCode>_-* #,##0_-;\-* #,##0_-;_-* "-"??_-;_-@_-</c:formatCode>
                <c:ptCount val="10"/>
                <c:pt idx="0">
                  <c:v>1767447.8039999998</c:v>
                </c:pt>
                <c:pt idx="1">
                  <c:v>1269871.7844999998</c:v>
                </c:pt>
                <c:pt idx="2">
                  <c:v>1271915</c:v>
                </c:pt>
                <c:pt idx="3">
                  <c:v>1330864</c:v>
                </c:pt>
                <c:pt idx="4">
                  <c:v>1365657.5229999998</c:v>
                </c:pt>
                <c:pt idx="5">
                  <c:v>1669005.4224999999</c:v>
                </c:pt>
                <c:pt idx="6">
                  <c:v>1491005.6469999996</c:v>
                </c:pt>
                <c:pt idx="7">
                  <c:v>1828352.1155999994</c:v>
                </c:pt>
                <c:pt idx="8">
                  <c:v>1585531.1869999992</c:v>
                </c:pt>
                <c:pt idx="9">
                  <c:v>1618458.1482699995</c:v>
                </c:pt>
              </c:numCache>
            </c:numRef>
          </c:val>
        </c:ser>
        <c:ser>
          <c:idx val="1"/>
          <c:order val="1"/>
          <c:tx>
            <c:strRef>
              <c:f>'Resumo Anual'!$A$35</c:f>
              <c:strCache>
                <c:ptCount val="1"/>
                <c:pt idx="0">
                  <c:v>De Fora da Bahia</c:v>
                </c:pt>
              </c:strCache>
            </c:strRef>
          </c:tx>
          <c:cat>
            <c:strRef>
              <c:f>'Resumo Anual'!$B$32:$L$32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 (1)</c:v>
                </c:pt>
              </c:strCache>
            </c:strRef>
          </c:cat>
          <c:val>
            <c:numRef>
              <c:f>'Resumo Anual'!$B$35:$K$35</c:f>
              <c:numCache>
                <c:formatCode>_-* #,##0_-;\-* #,##0_-;_-* "-"??_-;_-@_-</c:formatCode>
                <c:ptCount val="10"/>
                <c:pt idx="0">
                  <c:v>532549.027</c:v>
                </c:pt>
                <c:pt idx="1">
                  <c:v>524678.24299999943</c:v>
                </c:pt>
                <c:pt idx="2">
                  <c:v>609167</c:v>
                </c:pt>
                <c:pt idx="3">
                  <c:v>432558</c:v>
                </c:pt>
                <c:pt idx="4">
                  <c:v>652822.06599999964</c:v>
                </c:pt>
                <c:pt idx="5">
                  <c:v>586847.30099999986</c:v>
                </c:pt>
                <c:pt idx="6">
                  <c:v>538456.48100000003</c:v>
                </c:pt>
                <c:pt idx="7">
                  <c:v>867723.01999999979</c:v>
                </c:pt>
                <c:pt idx="8">
                  <c:v>778037.38500000001</c:v>
                </c:pt>
                <c:pt idx="9">
                  <c:v>707162.03599999996</c:v>
                </c:pt>
              </c:numCache>
            </c:numRef>
          </c:val>
        </c:ser>
        <c:overlap val="100"/>
        <c:axId val="116046080"/>
        <c:axId val="116080640"/>
      </c:barChart>
      <c:catAx>
        <c:axId val="11604608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16080640"/>
        <c:crosses val="autoZero"/>
        <c:auto val="1"/>
        <c:lblAlgn val="ctr"/>
        <c:lblOffset val="100"/>
      </c:catAx>
      <c:valAx>
        <c:axId val="116080640"/>
        <c:scaling>
          <c:orientation val="minMax"/>
        </c:scaling>
        <c:axPos val="l"/>
        <c:majorGridlines/>
        <c:numFmt formatCode="_-* #,##0_-;\-* #,##0_-;_-* &quot;-&quot;??_-;_-@_-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1604608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602" footer="0.3149606200000060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Evolução do Comex Baiano  - Via Marítima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em toneladas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6.5666498608334234E-2"/>
          <c:y val="0.22119607930364518"/>
          <c:w val="0.8369819159941827"/>
          <c:h val="0.69198036686092157"/>
        </c:manualLayout>
      </c:layout>
      <c:lineChart>
        <c:grouping val="standard"/>
        <c:ser>
          <c:idx val="0"/>
          <c:order val="0"/>
          <c:tx>
            <c:strRef>
              <c:f>'Resumo Anual'!$A$59</c:f>
              <c:strCache>
                <c:ptCount val="1"/>
                <c:pt idx="0">
                  <c:v>Importação</c:v>
                </c:pt>
              </c:strCache>
            </c:strRef>
          </c:tx>
          <c:cat>
            <c:strRef>
              <c:f>'Resumo Anual'!$B$57:$L$57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 (1)</c:v>
                </c:pt>
                <c:pt idx="10">
                  <c:v>2018 (1)</c:v>
                </c:pt>
              </c:strCache>
            </c:strRef>
          </c:cat>
          <c:val>
            <c:numRef>
              <c:f>'Resumo Anual'!$B$59:$K$59</c:f>
              <c:numCache>
                <c:formatCode>_-* #,##0_-;\-* #,##0_-;_-* "-"??_-;_-@_-</c:formatCode>
                <c:ptCount val="10"/>
                <c:pt idx="0">
                  <c:v>4823879.3980000019</c:v>
                </c:pt>
                <c:pt idx="1">
                  <c:v>3924323.4320000019</c:v>
                </c:pt>
                <c:pt idx="2">
                  <c:v>5278918</c:v>
                </c:pt>
                <c:pt idx="3">
                  <c:v>5135476</c:v>
                </c:pt>
                <c:pt idx="4">
                  <c:v>5062616.8019999992</c:v>
                </c:pt>
                <c:pt idx="5">
                  <c:v>5870482.0060000001</c:v>
                </c:pt>
                <c:pt idx="6">
                  <c:v>5604899.4010000005</c:v>
                </c:pt>
                <c:pt idx="7">
                  <c:v>9068608.1539999992</c:v>
                </c:pt>
                <c:pt idx="8" formatCode="#,##0">
                  <c:v>8084141.9079999989</c:v>
                </c:pt>
                <c:pt idx="9" formatCode="#,##0">
                  <c:v>9542656.6239999998</c:v>
                </c:pt>
              </c:numCache>
            </c:numRef>
          </c:val>
        </c:ser>
        <c:ser>
          <c:idx val="1"/>
          <c:order val="1"/>
          <c:tx>
            <c:strRef>
              <c:f>'Resumo Anual'!$A$60</c:f>
              <c:strCache>
                <c:ptCount val="1"/>
                <c:pt idx="0">
                  <c:v>Exportação</c:v>
                </c:pt>
              </c:strCache>
            </c:strRef>
          </c:tx>
          <c:cat>
            <c:strRef>
              <c:f>'Resumo Anual'!$B$57:$L$57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 (1)</c:v>
                </c:pt>
                <c:pt idx="10">
                  <c:v>2018 (1)</c:v>
                </c:pt>
              </c:strCache>
            </c:strRef>
          </c:cat>
          <c:val>
            <c:numRef>
              <c:f>'Resumo Anual'!$B$60:$K$60</c:f>
              <c:numCache>
                <c:formatCode>_-* #,##0_-;\-* #,##0_-;_-* "-"??_-;_-@_-</c:formatCode>
                <c:ptCount val="10"/>
                <c:pt idx="0">
                  <c:v>9566703.9290000014</c:v>
                </c:pt>
                <c:pt idx="1">
                  <c:v>9912265.8350000009</c:v>
                </c:pt>
                <c:pt idx="2">
                  <c:v>10736873</c:v>
                </c:pt>
                <c:pt idx="3">
                  <c:v>11134996</c:v>
                </c:pt>
                <c:pt idx="4">
                  <c:v>11548371.749</c:v>
                </c:pt>
                <c:pt idx="5">
                  <c:v>9893741.2039999999</c:v>
                </c:pt>
                <c:pt idx="6">
                  <c:v>8836736.1919999998</c:v>
                </c:pt>
                <c:pt idx="7">
                  <c:v>11145811.014</c:v>
                </c:pt>
                <c:pt idx="8" formatCode="#,##0">
                  <c:v>9937025.8900000006</c:v>
                </c:pt>
                <c:pt idx="9" formatCode="#,##0">
                  <c:v>11379997.489</c:v>
                </c:pt>
              </c:numCache>
            </c:numRef>
          </c:val>
        </c:ser>
        <c:marker val="1"/>
        <c:axId val="116109696"/>
        <c:axId val="116111232"/>
      </c:lineChart>
      <c:catAx>
        <c:axId val="11610969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6111232"/>
        <c:crosses val="autoZero"/>
        <c:auto val="1"/>
        <c:lblAlgn val="ctr"/>
        <c:lblOffset val="100"/>
      </c:catAx>
      <c:valAx>
        <c:axId val="116111232"/>
        <c:scaling>
          <c:orientation val="minMax"/>
        </c:scaling>
        <c:axPos val="l"/>
        <c:majorGridlines/>
        <c:numFmt formatCode="_-* #,##0_-;\-* #,##0_-;_-* &quot;-&quot;??_-;_-@_-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610969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385" footer="0.3149606200000038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Participação da Bahia nas Exportações do Brasil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Via Marítima - em toneladas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 sz="18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4.1151296765870267E-2"/>
          <c:y val="0.26702573636628757"/>
          <c:w val="0.88027654093314966"/>
          <c:h val="0.58259988334791457"/>
        </c:manualLayout>
      </c:layout>
      <c:lineChart>
        <c:grouping val="standard"/>
        <c:ser>
          <c:idx val="0"/>
          <c:order val="0"/>
          <c:tx>
            <c:strRef>
              <c:f>'Resumo Anual'!$A$84</c:f>
              <c:strCache>
                <c:ptCount val="1"/>
                <c:pt idx="0">
                  <c:v>BA/BR %</c:v>
                </c:pt>
              </c:strCache>
            </c:strRef>
          </c:tx>
          <c:cat>
            <c:strRef>
              <c:f>'Resumo Anual'!$B$81:$L$81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 (1)</c:v>
                </c:pt>
              </c:strCache>
            </c:strRef>
          </c:cat>
          <c:val>
            <c:numRef>
              <c:f>'Resumo Anual'!$B$84:$K$84</c:f>
              <c:numCache>
                <c:formatCode>0.0%</c:formatCode>
                <c:ptCount val="10"/>
                <c:pt idx="0">
                  <c:v>2.2115920039204096E-2</c:v>
                </c:pt>
                <c:pt idx="1">
                  <c:v>2.4350111742395861E-2</c:v>
                </c:pt>
                <c:pt idx="2">
                  <c:v>2.1500685122857566E-2</c:v>
                </c:pt>
                <c:pt idx="3">
                  <c:v>2.1344780601746036E-2</c:v>
                </c:pt>
                <c:pt idx="4">
                  <c:v>2.1956904734533596E-2</c:v>
                </c:pt>
                <c:pt idx="5">
                  <c:v>1.8543516477468273E-2</c:v>
                </c:pt>
                <c:pt idx="6">
                  <c:v>1.944619578930825E-2</c:v>
                </c:pt>
                <c:pt idx="7">
                  <c:v>1.8228030790918177E-2</c:v>
                </c:pt>
                <c:pt idx="8">
                  <c:v>1.6027027533804906E-2</c:v>
                </c:pt>
                <c:pt idx="9">
                  <c:v>1.7068393574394009E-2</c:v>
                </c:pt>
              </c:numCache>
            </c:numRef>
          </c:val>
        </c:ser>
        <c:marker val="1"/>
        <c:axId val="153253376"/>
        <c:axId val="153254912"/>
      </c:lineChart>
      <c:catAx>
        <c:axId val="1532533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3254912"/>
        <c:crosses val="autoZero"/>
        <c:auto val="1"/>
        <c:lblAlgn val="ctr"/>
        <c:lblOffset val="100"/>
      </c:catAx>
      <c:valAx>
        <c:axId val="153254912"/>
        <c:scaling>
          <c:orientation val="minMax"/>
          <c:max val="3.0000000000000016E-2"/>
          <c:min val="1.0000000000000005E-2"/>
        </c:scaling>
        <c:axPos val="l"/>
        <c:majorGridlines/>
        <c:numFmt formatCode="0.0%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3253376"/>
        <c:crosses val="autoZero"/>
        <c:crossBetween val="between"/>
      </c:valAx>
    </c:plotArea>
    <c:legend>
      <c:legendPos val="r"/>
      <c:layout/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385" footer="0.3149606200000038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Participação da Bahia nas Importações do Brasil</a:t>
            </a:r>
          </a:p>
          <a:p>
            <a:pPr>
              <a:defRPr/>
            </a:pPr>
            <a:r>
              <a:rPr lang="pt-BR"/>
              <a:t>Via Marítima - em toneladas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3.3723941181488908E-2"/>
          <c:y val="0.26197349564433281"/>
          <c:w val="0.88079819845674467"/>
          <c:h val="0.60518042606637701"/>
        </c:manualLayout>
      </c:layout>
      <c:lineChart>
        <c:grouping val="standard"/>
        <c:ser>
          <c:idx val="0"/>
          <c:order val="0"/>
          <c:tx>
            <c:strRef>
              <c:f>'Resumo Anual'!$A$106</c:f>
              <c:strCache>
                <c:ptCount val="1"/>
                <c:pt idx="0">
                  <c:v>BA/BR %</c:v>
                </c:pt>
              </c:strCache>
            </c:strRef>
          </c:tx>
          <c:cat>
            <c:strRef>
              <c:f>'Resumo Anual'!$B$103:$L$103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 (1)</c:v>
                </c:pt>
              </c:strCache>
            </c:strRef>
          </c:cat>
          <c:val>
            <c:numRef>
              <c:f>'Resumo Anual'!$B$106:$K$106</c:f>
              <c:numCache>
                <c:formatCode>0.0%</c:formatCode>
                <c:ptCount val="10"/>
                <c:pt idx="0">
                  <c:v>3.626376744681379E-2</c:v>
                </c:pt>
                <c:pt idx="1">
                  <c:v>5.9181885185119319E-2</c:v>
                </c:pt>
                <c:pt idx="2">
                  <c:v>4.3366693298182234E-2</c:v>
                </c:pt>
                <c:pt idx="3">
                  <c:v>3.8939834765117344E-2</c:v>
                </c:pt>
                <c:pt idx="4">
                  <c:v>3.992791987089072E-2</c:v>
                </c:pt>
                <c:pt idx="5">
                  <c:v>4.0878065587721911E-2</c:v>
                </c:pt>
                <c:pt idx="6">
                  <c:v>4.5071319598156211E-2</c:v>
                </c:pt>
                <c:pt idx="7">
                  <c:v>6.8868275741092916E-2</c:v>
                </c:pt>
                <c:pt idx="8">
                  <c:v>6.8139113117203096E-2</c:v>
                </c:pt>
                <c:pt idx="9">
                  <c:v>7.0051430443988913E-2</c:v>
                </c:pt>
              </c:numCache>
            </c:numRef>
          </c:val>
        </c:ser>
        <c:marker val="1"/>
        <c:axId val="116099712"/>
        <c:axId val="153276800"/>
      </c:lineChart>
      <c:catAx>
        <c:axId val="11609971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53276800"/>
        <c:crossesAt val="0"/>
        <c:auto val="1"/>
        <c:lblAlgn val="ctr"/>
        <c:lblOffset val="100"/>
      </c:catAx>
      <c:valAx>
        <c:axId val="153276800"/>
        <c:scaling>
          <c:orientation val="minMax"/>
          <c:max val="0.12000000000000002"/>
          <c:min val="0"/>
        </c:scaling>
        <c:axPos val="l"/>
        <c:majorGridlines/>
        <c:numFmt formatCode="0%" sourceLinked="0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1609971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385" footer="0.31496062000000385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Participação</a:t>
            </a:r>
            <a:r>
              <a:rPr lang="en-US" baseline="0"/>
              <a:t> da Bahia no Comex Brasil</a:t>
            </a:r>
          </a:p>
          <a:p>
            <a:pPr>
              <a:defRPr/>
            </a:pPr>
            <a:r>
              <a:rPr lang="en-US" sz="1100" b="0" baseline="0"/>
              <a:t>Via Maritma - em tonelada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5.2282487362110913E-2"/>
          <c:y val="0.19476336510567771"/>
          <c:w val="0.86717809557815295"/>
          <c:h val="0.71733609614588012"/>
        </c:manualLayout>
      </c:layout>
      <c:lineChart>
        <c:grouping val="standard"/>
        <c:ser>
          <c:idx val="0"/>
          <c:order val="0"/>
          <c:tx>
            <c:strRef>
              <c:f>'Resumo Anual'!$A$131</c:f>
              <c:strCache>
                <c:ptCount val="1"/>
                <c:pt idx="0">
                  <c:v>BA/BR %</c:v>
                </c:pt>
              </c:strCache>
            </c:strRef>
          </c:tx>
          <c:cat>
            <c:numRef>
              <c:f>'Resumo Anual'!$B$128:$K$128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'Resumo Anual'!$B$131:$K$131</c:f>
              <c:numCache>
                <c:formatCode>0.0%</c:formatCode>
                <c:ptCount val="10"/>
                <c:pt idx="0">
                  <c:v>2.4961793993774791E-2</c:v>
                </c:pt>
                <c:pt idx="1">
                  <c:v>2.5863176964261884E-2</c:v>
                </c:pt>
                <c:pt idx="2">
                  <c:v>2.6100098176166625E-2</c:v>
                </c:pt>
                <c:pt idx="3">
                  <c:v>2.578612970818954E-2</c:v>
                </c:pt>
                <c:pt idx="4">
                  <c:v>2.4895324501204168E-2</c:v>
                </c:pt>
                <c:pt idx="5">
                  <c:v>2.5483256936469457E-2</c:v>
                </c:pt>
                <c:pt idx="6">
                  <c:v>2.3280205165239813E-2</c:v>
                </c:pt>
                <c:pt idx="7">
                  <c:v>2.4952028254347669E-2</c:v>
                </c:pt>
                <c:pt idx="8">
                  <c:v>2.7201143395471163E-2</c:v>
                </c:pt>
                <c:pt idx="9">
                  <c:v>2.6057139307347345E-2</c:v>
                </c:pt>
              </c:numCache>
            </c:numRef>
          </c:val>
        </c:ser>
        <c:marker val="1"/>
        <c:axId val="116136576"/>
        <c:axId val="116146560"/>
      </c:lineChart>
      <c:catAx>
        <c:axId val="116136576"/>
        <c:scaling>
          <c:orientation val="minMax"/>
        </c:scaling>
        <c:axPos val="b"/>
        <c:numFmt formatCode="General" sourceLinked="1"/>
        <c:majorTickMark val="none"/>
        <c:tickLblPos val="nextTo"/>
        <c:crossAx val="116146560"/>
        <c:crosses val="autoZero"/>
        <c:auto val="1"/>
        <c:lblAlgn val="ctr"/>
        <c:lblOffset val="100"/>
      </c:catAx>
      <c:valAx>
        <c:axId val="116146560"/>
        <c:scaling>
          <c:orientation val="minMax"/>
        </c:scaling>
        <c:axPos val="l"/>
        <c:majorGridlines/>
        <c:title>
          <c:layout/>
        </c:title>
        <c:numFmt formatCode="0.0%" sourceLinked="1"/>
        <c:majorTickMark val="none"/>
        <c:tickLblPos val="nextTo"/>
        <c:crossAx val="11613657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208" footer="0.31496062000000208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Comex Baiano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Participação da Bahia nas Importações do Brasil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v>BA &gt;&gt; BR</c:v>
          </c:tx>
          <c:cat>
            <c:strRef>
              <c:f>'2010'!$B$106:$M$106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'2010'!$B$109:$M$109</c:f>
              <c:numCache>
                <c:formatCode>0.00%</c:formatCode>
                <c:ptCount val="12"/>
                <c:pt idx="0">
                  <c:v>5.1895703194753576E-2</c:v>
                </c:pt>
                <c:pt idx="1">
                  <c:v>4.7986647102219976E-2</c:v>
                </c:pt>
                <c:pt idx="2">
                  <c:v>5.2448415349826104E-2</c:v>
                </c:pt>
                <c:pt idx="3">
                  <c:v>4.3238524478917295E-2</c:v>
                </c:pt>
                <c:pt idx="4">
                  <c:v>4.4289353304370019E-2</c:v>
                </c:pt>
                <c:pt idx="5">
                  <c:v>3.969647041753032E-2</c:v>
                </c:pt>
                <c:pt idx="6">
                  <c:v>3.9042425949964918E-2</c:v>
                </c:pt>
                <c:pt idx="7">
                  <c:v>4.4138617094831564E-2</c:v>
                </c:pt>
                <c:pt idx="8">
                  <c:v>4.5525481315675936E-2</c:v>
                </c:pt>
                <c:pt idx="9">
                  <c:v>3.6600486790325966E-2</c:v>
                </c:pt>
                <c:pt idx="10">
                  <c:v>4.1664242368672395E-2</c:v>
                </c:pt>
                <c:pt idx="11">
                  <c:v>3.7344277176719579E-2</c:v>
                </c:pt>
              </c:numCache>
            </c:numRef>
          </c:val>
        </c:ser>
        <c:marker val="1"/>
        <c:axId val="83381248"/>
        <c:axId val="83403520"/>
      </c:lineChart>
      <c:catAx>
        <c:axId val="8338124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3403520"/>
        <c:crosses val="autoZero"/>
        <c:auto val="1"/>
        <c:lblAlgn val="ctr"/>
        <c:lblOffset val="100"/>
      </c:catAx>
      <c:valAx>
        <c:axId val="83403520"/>
        <c:scaling>
          <c:orientation val="minMax"/>
        </c:scaling>
        <c:axPos val="l"/>
        <c:majorGridlines/>
        <c:numFmt formatCode="0.00%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3381248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447" footer="0.3149606200000044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0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Comex Baiano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Participação da Bahia nas Exportações do Brasil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v>BA &gt;&gt; BR</c:v>
          </c:tx>
          <c:cat>
            <c:strRef>
              <c:f>'2010'!$B$81:$M$81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'2010'!$B$84:$M$84</c:f>
              <c:numCache>
                <c:formatCode>0.00%</c:formatCode>
                <c:ptCount val="12"/>
                <c:pt idx="0">
                  <c:v>3.3720425505942876E-2</c:v>
                </c:pt>
                <c:pt idx="1">
                  <c:v>1.6118932162394763E-2</c:v>
                </c:pt>
                <c:pt idx="2">
                  <c:v>1.8784089962262732E-2</c:v>
                </c:pt>
                <c:pt idx="3">
                  <c:v>2.1293409950203467E-2</c:v>
                </c:pt>
                <c:pt idx="4">
                  <c:v>2.4318898633162684E-2</c:v>
                </c:pt>
                <c:pt idx="5">
                  <c:v>2.4976661149080131E-2</c:v>
                </c:pt>
                <c:pt idx="6">
                  <c:v>2.3003258766111999E-2</c:v>
                </c:pt>
                <c:pt idx="7">
                  <c:v>2.3377094111656678E-2</c:v>
                </c:pt>
                <c:pt idx="8">
                  <c:v>2.4984716331800647E-2</c:v>
                </c:pt>
                <c:pt idx="9">
                  <c:v>1.7569564423776985E-2</c:v>
                </c:pt>
                <c:pt idx="10">
                  <c:v>1.7005479309252287E-2</c:v>
                </c:pt>
                <c:pt idx="11">
                  <c:v>1.5572650451793749E-2</c:v>
                </c:pt>
              </c:numCache>
            </c:numRef>
          </c:val>
        </c:ser>
        <c:marker val="1"/>
        <c:axId val="89866624"/>
        <c:axId val="89868160"/>
      </c:lineChart>
      <c:catAx>
        <c:axId val="8986662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868160"/>
        <c:crosses val="autoZero"/>
        <c:auto val="1"/>
        <c:lblAlgn val="ctr"/>
        <c:lblOffset val="100"/>
      </c:catAx>
      <c:valAx>
        <c:axId val="89868160"/>
        <c:scaling>
          <c:orientation val="minMax"/>
        </c:scaling>
        <c:axPos val="l"/>
        <c:majorGridlines/>
        <c:numFmt formatCode="0.00%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866624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447" footer="0.3149606200000044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/>
              <a:t>Movimentação de Cargas Gerais - Via Marítima </a:t>
            </a:r>
          </a:p>
          <a:p>
            <a:pPr>
              <a:defRPr/>
            </a:pPr>
            <a:r>
              <a:rPr lang="pt-BR"/>
              <a:t>em toneladas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v>Bahia</c:v>
          </c:tx>
          <c:cat>
            <c:strRef>
              <c:f>'2011'!$B$5:$M$5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'2011'!$B$7:$M$7</c:f>
              <c:numCache>
                <c:formatCode>_-* #,##0_-;\-* #,##0_-;_-* "-"??_-;_-@_-</c:formatCode>
                <c:ptCount val="12"/>
                <c:pt idx="0">
                  <c:v>735232</c:v>
                </c:pt>
                <c:pt idx="1">
                  <c:v>668646</c:v>
                </c:pt>
                <c:pt idx="2">
                  <c:v>806265</c:v>
                </c:pt>
                <c:pt idx="3">
                  <c:v>924074</c:v>
                </c:pt>
                <c:pt idx="4">
                  <c:v>1340970</c:v>
                </c:pt>
                <c:pt idx="5">
                  <c:v>1332269</c:v>
                </c:pt>
                <c:pt idx="6">
                  <c:v>1352088</c:v>
                </c:pt>
                <c:pt idx="7">
                  <c:v>1418148</c:v>
                </c:pt>
                <c:pt idx="8">
                  <c:v>1109179</c:v>
                </c:pt>
                <c:pt idx="9">
                  <c:v>900613</c:v>
                </c:pt>
                <c:pt idx="10">
                  <c:v>1093288</c:v>
                </c:pt>
                <c:pt idx="11">
                  <c:v>903191</c:v>
                </c:pt>
              </c:numCache>
            </c:numRef>
          </c:val>
        </c:ser>
        <c:ser>
          <c:idx val="1"/>
          <c:order val="1"/>
          <c:tx>
            <c:v>Outros Estados</c:v>
          </c:tx>
          <c:cat>
            <c:strRef>
              <c:f>'2011'!$B$5:$M$5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'2011'!$B$8:$M$8</c:f>
              <c:numCache>
                <c:formatCode>_-* #,##0_-;\-* #,##0_-;_-* "-"??_-;_-@_-</c:formatCode>
                <c:ptCount val="12"/>
                <c:pt idx="0">
                  <c:v>250178</c:v>
                </c:pt>
                <c:pt idx="1">
                  <c:v>292064</c:v>
                </c:pt>
                <c:pt idx="2">
                  <c:v>242323</c:v>
                </c:pt>
                <c:pt idx="3">
                  <c:v>235660</c:v>
                </c:pt>
                <c:pt idx="4">
                  <c:v>271763</c:v>
                </c:pt>
                <c:pt idx="5">
                  <c:v>274060</c:v>
                </c:pt>
                <c:pt idx="6">
                  <c:v>298203</c:v>
                </c:pt>
                <c:pt idx="7">
                  <c:v>365616</c:v>
                </c:pt>
                <c:pt idx="8">
                  <c:v>387170</c:v>
                </c:pt>
                <c:pt idx="9">
                  <c:v>399157</c:v>
                </c:pt>
                <c:pt idx="10">
                  <c:v>367530</c:v>
                </c:pt>
                <c:pt idx="11">
                  <c:v>301424</c:v>
                </c:pt>
              </c:numCache>
            </c:numRef>
          </c:val>
        </c:ser>
        <c:overlap val="100"/>
        <c:axId val="101714560"/>
        <c:axId val="101761408"/>
      </c:barChart>
      <c:catAx>
        <c:axId val="10171456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01761408"/>
        <c:crosses val="autoZero"/>
        <c:auto val="1"/>
        <c:lblAlgn val="ctr"/>
        <c:lblOffset val="100"/>
      </c:catAx>
      <c:valAx>
        <c:axId val="101761408"/>
        <c:scaling>
          <c:orientation val="minMax"/>
        </c:scaling>
        <c:axPos val="l"/>
        <c:majorGridlines/>
        <c:numFmt formatCode="_-* #,##0_-;\-* #,##0_-;_-* &quot;-&quot;??_-;_-@_-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0171456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591" footer="0.3149606200000059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7" Type="http://schemas.openxmlformats.org/officeDocument/2006/relationships/chart" Target="../charts/chart54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6" Type="http://schemas.openxmlformats.org/officeDocument/2006/relationships/chart" Target="../charts/chart53.xml"/><Relationship Id="rId5" Type="http://schemas.openxmlformats.org/officeDocument/2006/relationships/chart" Target="../charts/chart52.xml"/><Relationship Id="rId4" Type="http://schemas.openxmlformats.org/officeDocument/2006/relationships/chart" Target="../charts/chart5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7" Type="http://schemas.openxmlformats.org/officeDocument/2006/relationships/chart" Target="../charts/chart61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5" Type="http://schemas.openxmlformats.org/officeDocument/2006/relationships/chart" Target="../charts/chart59.xml"/><Relationship Id="rId4" Type="http://schemas.openxmlformats.org/officeDocument/2006/relationships/chart" Target="../charts/chart58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4.xml"/><Relationship Id="rId2" Type="http://schemas.openxmlformats.org/officeDocument/2006/relationships/chart" Target="../charts/chart63.xml"/><Relationship Id="rId1" Type="http://schemas.openxmlformats.org/officeDocument/2006/relationships/chart" Target="../charts/chart62.xml"/><Relationship Id="rId6" Type="http://schemas.openxmlformats.org/officeDocument/2006/relationships/chart" Target="../charts/chart67.xml"/><Relationship Id="rId5" Type="http://schemas.openxmlformats.org/officeDocument/2006/relationships/chart" Target="../charts/chart66.xml"/><Relationship Id="rId4" Type="http://schemas.openxmlformats.org/officeDocument/2006/relationships/chart" Target="../charts/chart6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7" Type="http://schemas.openxmlformats.org/officeDocument/2006/relationships/chart" Target="../charts/chart33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6" Type="http://schemas.openxmlformats.org/officeDocument/2006/relationships/chart" Target="../charts/chart32.xml"/><Relationship Id="rId5" Type="http://schemas.openxmlformats.org/officeDocument/2006/relationships/chart" Target="../charts/chart31.xml"/><Relationship Id="rId4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7" Type="http://schemas.openxmlformats.org/officeDocument/2006/relationships/chart" Target="../charts/chart40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6" Type="http://schemas.openxmlformats.org/officeDocument/2006/relationships/chart" Target="../charts/chart39.xml"/><Relationship Id="rId5" Type="http://schemas.openxmlformats.org/officeDocument/2006/relationships/chart" Target="../charts/chart38.xml"/><Relationship Id="rId4" Type="http://schemas.openxmlformats.org/officeDocument/2006/relationships/chart" Target="../charts/chart3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1419225</xdr:colOff>
      <xdr:row>19</xdr:row>
      <xdr:rowOff>85725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26</xdr:row>
      <xdr:rowOff>66675</xdr:rowOff>
    </xdr:from>
    <xdr:to>
      <xdr:col>6</xdr:col>
      <xdr:colOff>1409699</xdr:colOff>
      <xdr:row>42</xdr:row>
      <xdr:rowOff>71437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10</xdr:row>
      <xdr:rowOff>19050</xdr:rowOff>
    </xdr:from>
    <xdr:to>
      <xdr:col>14</xdr:col>
      <xdr:colOff>1</xdr:colOff>
      <xdr:row>26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38101</xdr:colOff>
      <xdr:row>36</xdr:row>
      <xdr:rowOff>57150</xdr:rowOff>
    </xdr:from>
    <xdr:to>
      <xdr:col>13</xdr:col>
      <xdr:colOff>819151</xdr:colOff>
      <xdr:row>54</xdr:row>
      <xdr:rowOff>19050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86</xdr:row>
      <xdr:rowOff>38100</xdr:rowOff>
    </xdr:from>
    <xdr:to>
      <xdr:col>13</xdr:col>
      <xdr:colOff>723900</xdr:colOff>
      <xdr:row>103</xdr:row>
      <xdr:rowOff>171450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110</xdr:row>
      <xdr:rowOff>66674</xdr:rowOff>
    </xdr:from>
    <xdr:to>
      <xdr:col>13</xdr:col>
      <xdr:colOff>809625</xdr:colOff>
      <xdr:row>125</xdr:row>
      <xdr:rowOff>171449</xdr:rowOff>
    </xdr:to>
    <xdr:graphicFrame macro="">
      <xdr:nvGraphicFramePr>
        <xdr:cNvPr id="5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88107</xdr:colOff>
      <xdr:row>132</xdr:row>
      <xdr:rowOff>0</xdr:rowOff>
    </xdr:from>
    <xdr:to>
      <xdr:col>13</xdr:col>
      <xdr:colOff>859632</xdr:colOff>
      <xdr:row>151</xdr:row>
      <xdr:rowOff>92869</xdr:rowOff>
    </xdr:to>
    <xdr:graphicFrame macro="">
      <xdr:nvGraphicFramePr>
        <xdr:cNvPr id="6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38099</xdr:colOff>
      <xdr:row>62</xdr:row>
      <xdr:rowOff>57150</xdr:rowOff>
    </xdr:from>
    <xdr:to>
      <xdr:col>13</xdr:col>
      <xdr:colOff>818030</xdr:colOff>
      <xdr:row>79</xdr:row>
      <xdr:rowOff>161925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158</xdr:row>
      <xdr:rowOff>79375</xdr:rowOff>
    </xdr:from>
    <xdr:to>
      <xdr:col>13</xdr:col>
      <xdr:colOff>846667</xdr:colOff>
      <xdr:row>177</xdr:row>
      <xdr:rowOff>79375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10</xdr:row>
      <xdr:rowOff>19050</xdr:rowOff>
    </xdr:from>
    <xdr:to>
      <xdr:col>14</xdr:col>
      <xdr:colOff>1</xdr:colOff>
      <xdr:row>26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38101</xdr:colOff>
      <xdr:row>36</xdr:row>
      <xdr:rowOff>57150</xdr:rowOff>
    </xdr:from>
    <xdr:to>
      <xdr:col>13</xdr:col>
      <xdr:colOff>819151</xdr:colOff>
      <xdr:row>54</xdr:row>
      <xdr:rowOff>19050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86</xdr:row>
      <xdr:rowOff>38100</xdr:rowOff>
    </xdr:from>
    <xdr:to>
      <xdr:col>13</xdr:col>
      <xdr:colOff>723900</xdr:colOff>
      <xdr:row>103</xdr:row>
      <xdr:rowOff>171450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110</xdr:row>
      <xdr:rowOff>66674</xdr:rowOff>
    </xdr:from>
    <xdr:to>
      <xdr:col>13</xdr:col>
      <xdr:colOff>809625</xdr:colOff>
      <xdr:row>125</xdr:row>
      <xdr:rowOff>171449</xdr:rowOff>
    </xdr:to>
    <xdr:graphicFrame macro="">
      <xdr:nvGraphicFramePr>
        <xdr:cNvPr id="5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88107</xdr:colOff>
      <xdr:row>132</xdr:row>
      <xdr:rowOff>0</xdr:rowOff>
    </xdr:from>
    <xdr:to>
      <xdr:col>13</xdr:col>
      <xdr:colOff>859632</xdr:colOff>
      <xdr:row>151</xdr:row>
      <xdr:rowOff>92869</xdr:rowOff>
    </xdr:to>
    <xdr:graphicFrame macro="">
      <xdr:nvGraphicFramePr>
        <xdr:cNvPr id="6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38099</xdr:colOff>
      <xdr:row>62</xdr:row>
      <xdr:rowOff>57150</xdr:rowOff>
    </xdr:from>
    <xdr:to>
      <xdr:col>13</xdr:col>
      <xdr:colOff>818030</xdr:colOff>
      <xdr:row>79</xdr:row>
      <xdr:rowOff>161925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158</xdr:row>
      <xdr:rowOff>79375</xdr:rowOff>
    </xdr:from>
    <xdr:to>
      <xdr:col>13</xdr:col>
      <xdr:colOff>846667</xdr:colOff>
      <xdr:row>177</xdr:row>
      <xdr:rowOff>79375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10</xdr:row>
      <xdr:rowOff>19050</xdr:rowOff>
    </xdr:from>
    <xdr:to>
      <xdr:col>12</xdr:col>
      <xdr:colOff>1</xdr:colOff>
      <xdr:row>26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38101</xdr:colOff>
      <xdr:row>36</xdr:row>
      <xdr:rowOff>57150</xdr:rowOff>
    </xdr:from>
    <xdr:to>
      <xdr:col>12</xdr:col>
      <xdr:colOff>0</xdr:colOff>
      <xdr:row>54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60</xdr:row>
      <xdr:rowOff>38100</xdr:rowOff>
    </xdr:from>
    <xdr:to>
      <xdr:col>12</xdr:col>
      <xdr:colOff>0</xdr:colOff>
      <xdr:row>77</xdr:row>
      <xdr:rowOff>171450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84</xdr:row>
      <xdr:rowOff>66674</xdr:rowOff>
    </xdr:from>
    <xdr:to>
      <xdr:col>12</xdr:col>
      <xdr:colOff>0</xdr:colOff>
      <xdr:row>99</xdr:row>
      <xdr:rowOff>171449</xdr:rowOff>
    </xdr:to>
    <xdr:graphicFrame macro="">
      <xdr:nvGraphicFramePr>
        <xdr:cNvPr id="5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106</xdr:row>
      <xdr:rowOff>95250</xdr:rowOff>
    </xdr:from>
    <xdr:to>
      <xdr:col>12</xdr:col>
      <xdr:colOff>0</xdr:colOff>
      <xdr:row>122</xdr:row>
      <xdr:rowOff>152400</xdr:rowOff>
    </xdr:to>
    <xdr:graphicFrame macro="">
      <xdr:nvGraphicFramePr>
        <xdr:cNvPr id="6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10583</xdr:colOff>
      <xdr:row>131</xdr:row>
      <xdr:rowOff>31750</xdr:rowOff>
    </xdr:from>
    <xdr:to>
      <xdr:col>12</xdr:col>
      <xdr:colOff>0</xdr:colOff>
      <xdr:row>150</xdr:row>
      <xdr:rowOff>31750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5</xdr:row>
      <xdr:rowOff>19050</xdr:rowOff>
    </xdr:from>
    <xdr:to>
      <xdr:col>6</xdr:col>
      <xdr:colOff>1390650</xdr:colOff>
      <xdr:row>20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71438</xdr:colOff>
      <xdr:row>9</xdr:row>
      <xdr:rowOff>119063</xdr:rowOff>
    </xdr:from>
    <xdr:to>
      <xdr:col>13</xdr:col>
      <xdr:colOff>916781</xdr:colOff>
      <xdr:row>25</xdr:row>
      <xdr:rowOff>107156</xdr:rowOff>
    </xdr:to>
    <xdr:graphicFrame macro="">
      <xdr:nvGraphicFramePr>
        <xdr:cNvPr id="1110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35719</xdr:colOff>
      <xdr:row>35</xdr:row>
      <xdr:rowOff>119063</xdr:rowOff>
    </xdr:from>
    <xdr:to>
      <xdr:col>13</xdr:col>
      <xdr:colOff>940592</xdr:colOff>
      <xdr:row>53</xdr:row>
      <xdr:rowOff>107156</xdr:rowOff>
    </xdr:to>
    <xdr:graphicFrame macro="">
      <xdr:nvGraphicFramePr>
        <xdr:cNvPr id="1111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23813</xdr:colOff>
      <xdr:row>60</xdr:row>
      <xdr:rowOff>152400</xdr:rowOff>
    </xdr:from>
    <xdr:to>
      <xdr:col>13</xdr:col>
      <xdr:colOff>940592</xdr:colOff>
      <xdr:row>77</xdr:row>
      <xdr:rowOff>107156</xdr:rowOff>
    </xdr:to>
    <xdr:graphicFrame macro="">
      <xdr:nvGraphicFramePr>
        <xdr:cNvPr id="1112" name="Gráfico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130969</xdr:colOff>
      <xdr:row>109</xdr:row>
      <xdr:rowOff>152400</xdr:rowOff>
    </xdr:from>
    <xdr:to>
      <xdr:col>13</xdr:col>
      <xdr:colOff>892968</xdr:colOff>
      <xdr:row>125</xdr:row>
      <xdr:rowOff>83344</xdr:rowOff>
    </xdr:to>
    <xdr:graphicFrame macro="">
      <xdr:nvGraphicFramePr>
        <xdr:cNvPr id="1113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457200</xdr:colOff>
      <xdr:row>85</xdr:row>
      <xdr:rowOff>28575</xdr:rowOff>
    </xdr:from>
    <xdr:to>
      <xdr:col>14</xdr:col>
      <xdr:colOff>0</xdr:colOff>
      <xdr:row>102</xdr:row>
      <xdr:rowOff>47625</xdr:rowOff>
    </xdr:to>
    <xdr:graphicFrame macro="">
      <xdr:nvGraphicFramePr>
        <xdr:cNvPr id="1114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10</xdr:row>
      <xdr:rowOff>19050</xdr:rowOff>
    </xdr:from>
    <xdr:to>
      <xdr:col>14</xdr:col>
      <xdr:colOff>0</xdr:colOff>
      <xdr:row>25</xdr:row>
      <xdr:rowOff>38100</xdr:rowOff>
    </xdr:to>
    <xdr:graphicFrame macro="">
      <xdr:nvGraphicFramePr>
        <xdr:cNvPr id="1134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37</xdr:row>
      <xdr:rowOff>9525</xdr:rowOff>
    </xdr:from>
    <xdr:to>
      <xdr:col>13</xdr:col>
      <xdr:colOff>809625</xdr:colOff>
      <xdr:row>53</xdr:row>
      <xdr:rowOff>19050</xdr:rowOff>
    </xdr:to>
    <xdr:graphicFrame macro="">
      <xdr:nvGraphicFramePr>
        <xdr:cNvPr id="1135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88</xdr:row>
      <xdr:rowOff>0</xdr:rowOff>
    </xdr:from>
    <xdr:to>
      <xdr:col>13</xdr:col>
      <xdr:colOff>809625</xdr:colOff>
      <xdr:row>103</xdr:row>
      <xdr:rowOff>152400</xdr:rowOff>
    </xdr:to>
    <xdr:graphicFrame macro="">
      <xdr:nvGraphicFramePr>
        <xdr:cNvPr id="11352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111</xdr:row>
      <xdr:rowOff>66675</xdr:rowOff>
    </xdr:from>
    <xdr:to>
      <xdr:col>13</xdr:col>
      <xdr:colOff>809625</xdr:colOff>
      <xdr:row>125</xdr:row>
      <xdr:rowOff>142875</xdr:rowOff>
    </xdr:to>
    <xdr:graphicFrame macro="">
      <xdr:nvGraphicFramePr>
        <xdr:cNvPr id="11353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114300</xdr:colOff>
      <xdr:row>133</xdr:row>
      <xdr:rowOff>95250</xdr:rowOff>
    </xdr:from>
    <xdr:to>
      <xdr:col>13</xdr:col>
      <xdr:colOff>800100</xdr:colOff>
      <xdr:row>148</xdr:row>
      <xdr:rowOff>171450</xdr:rowOff>
    </xdr:to>
    <xdr:graphicFrame macro="">
      <xdr:nvGraphicFramePr>
        <xdr:cNvPr id="11354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123826</xdr:colOff>
      <xdr:row>63</xdr:row>
      <xdr:rowOff>38100</xdr:rowOff>
    </xdr:from>
    <xdr:to>
      <xdr:col>13</xdr:col>
      <xdr:colOff>809625</xdr:colOff>
      <xdr:row>77</xdr:row>
      <xdr:rowOff>114300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10</xdr:row>
      <xdr:rowOff>19050</xdr:rowOff>
    </xdr:from>
    <xdr:to>
      <xdr:col>14</xdr:col>
      <xdr:colOff>0</xdr:colOff>
      <xdr:row>26</xdr:row>
      <xdr:rowOff>11906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37</xdr:row>
      <xdr:rowOff>9525</xdr:rowOff>
    </xdr:from>
    <xdr:to>
      <xdr:col>13</xdr:col>
      <xdr:colOff>904875</xdr:colOff>
      <xdr:row>54</xdr:row>
      <xdr:rowOff>130969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87</xdr:row>
      <xdr:rowOff>0</xdr:rowOff>
    </xdr:from>
    <xdr:to>
      <xdr:col>13</xdr:col>
      <xdr:colOff>928687</xdr:colOff>
      <xdr:row>103</xdr:row>
      <xdr:rowOff>71438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95249</xdr:colOff>
      <xdr:row>110</xdr:row>
      <xdr:rowOff>66675</xdr:rowOff>
    </xdr:from>
    <xdr:to>
      <xdr:col>13</xdr:col>
      <xdr:colOff>952499</xdr:colOff>
      <xdr:row>124</xdr:row>
      <xdr:rowOff>142875</xdr:rowOff>
    </xdr:to>
    <xdr:graphicFrame macro="">
      <xdr:nvGraphicFramePr>
        <xdr:cNvPr id="5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114300</xdr:colOff>
      <xdr:row>132</xdr:row>
      <xdr:rowOff>95250</xdr:rowOff>
    </xdr:from>
    <xdr:to>
      <xdr:col>13</xdr:col>
      <xdr:colOff>800100</xdr:colOff>
      <xdr:row>148</xdr:row>
      <xdr:rowOff>107156</xdr:rowOff>
    </xdr:to>
    <xdr:graphicFrame macro="">
      <xdr:nvGraphicFramePr>
        <xdr:cNvPr id="6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76201</xdr:colOff>
      <xdr:row>62</xdr:row>
      <xdr:rowOff>142874</xdr:rowOff>
    </xdr:from>
    <xdr:to>
      <xdr:col>13</xdr:col>
      <xdr:colOff>869156</xdr:colOff>
      <xdr:row>79</xdr:row>
      <xdr:rowOff>107155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10</xdr:row>
      <xdr:rowOff>19050</xdr:rowOff>
    </xdr:from>
    <xdr:to>
      <xdr:col>14</xdr:col>
      <xdr:colOff>1</xdr:colOff>
      <xdr:row>26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38101</xdr:colOff>
      <xdr:row>36</xdr:row>
      <xdr:rowOff>57150</xdr:rowOff>
    </xdr:from>
    <xdr:to>
      <xdr:col>13</xdr:col>
      <xdr:colOff>819151</xdr:colOff>
      <xdr:row>54</xdr:row>
      <xdr:rowOff>19050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86</xdr:row>
      <xdr:rowOff>38100</xdr:rowOff>
    </xdr:from>
    <xdr:to>
      <xdr:col>13</xdr:col>
      <xdr:colOff>723900</xdr:colOff>
      <xdr:row>103</xdr:row>
      <xdr:rowOff>171450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110</xdr:row>
      <xdr:rowOff>66674</xdr:rowOff>
    </xdr:from>
    <xdr:to>
      <xdr:col>13</xdr:col>
      <xdr:colOff>809625</xdr:colOff>
      <xdr:row>125</xdr:row>
      <xdr:rowOff>171449</xdr:rowOff>
    </xdr:to>
    <xdr:graphicFrame macro="">
      <xdr:nvGraphicFramePr>
        <xdr:cNvPr id="5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132</xdr:row>
      <xdr:rowOff>95250</xdr:rowOff>
    </xdr:from>
    <xdr:to>
      <xdr:col>13</xdr:col>
      <xdr:colOff>800100</xdr:colOff>
      <xdr:row>148</xdr:row>
      <xdr:rowOff>152400</xdr:rowOff>
    </xdr:to>
    <xdr:graphicFrame macro="">
      <xdr:nvGraphicFramePr>
        <xdr:cNvPr id="6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38099</xdr:colOff>
      <xdr:row>62</xdr:row>
      <xdr:rowOff>57150</xdr:rowOff>
    </xdr:from>
    <xdr:to>
      <xdr:col>13</xdr:col>
      <xdr:colOff>818030</xdr:colOff>
      <xdr:row>79</xdr:row>
      <xdr:rowOff>161925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10</xdr:row>
      <xdr:rowOff>19050</xdr:rowOff>
    </xdr:from>
    <xdr:to>
      <xdr:col>14</xdr:col>
      <xdr:colOff>1</xdr:colOff>
      <xdr:row>26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38101</xdr:colOff>
      <xdr:row>36</xdr:row>
      <xdr:rowOff>57150</xdr:rowOff>
    </xdr:from>
    <xdr:to>
      <xdr:col>13</xdr:col>
      <xdr:colOff>819151</xdr:colOff>
      <xdr:row>54</xdr:row>
      <xdr:rowOff>19050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86</xdr:row>
      <xdr:rowOff>38100</xdr:rowOff>
    </xdr:from>
    <xdr:to>
      <xdr:col>13</xdr:col>
      <xdr:colOff>723900</xdr:colOff>
      <xdr:row>103</xdr:row>
      <xdr:rowOff>171450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110</xdr:row>
      <xdr:rowOff>66674</xdr:rowOff>
    </xdr:from>
    <xdr:to>
      <xdr:col>13</xdr:col>
      <xdr:colOff>809625</xdr:colOff>
      <xdr:row>125</xdr:row>
      <xdr:rowOff>171449</xdr:rowOff>
    </xdr:to>
    <xdr:graphicFrame macro="">
      <xdr:nvGraphicFramePr>
        <xdr:cNvPr id="5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132</xdr:row>
      <xdr:rowOff>95250</xdr:rowOff>
    </xdr:from>
    <xdr:to>
      <xdr:col>13</xdr:col>
      <xdr:colOff>800100</xdr:colOff>
      <xdr:row>148</xdr:row>
      <xdr:rowOff>152400</xdr:rowOff>
    </xdr:to>
    <xdr:graphicFrame macro="">
      <xdr:nvGraphicFramePr>
        <xdr:cNvPr id="6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38099</xdr:colOff>
      <xdr:row>62</xdr:row>
      <xdr:rowOff>57150</xdr:rowOff>
    </xdr:from>
    <xdr:to>
      <xdr:col>13</xdr:col>
      <xdr:colOff>818030</xdr:colOff>
      <xdr:row>79</xdr:row>
      <xdr:rowOff>161925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10583</xdr:colOff>
      <xdr:row>157</xdr:row>
      <xdr:rowOff>31750</xdr:rowOff>
    </xdr:from>
    <xdr:to>
      <xdr:col>13</xdr:col>
      <xdr:colOff>857250</xdr:colOff>
      <xdr:row>176</xdr:row>
      <xdr:rowOff>31750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10</xdr:row>
      <xdr:rowOff>19050</xdr:rowOff>
    </xdr:from>
    <xdr:to>
      <xdr:col>14</xdr:col>
      <xdr:colOff>1</xdr:colOff>
      <xdr:row>26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38101</xdr:colOff>
      <xdr:row>36</xdr:row>
      <xdr:rowOff>57150</xdr:rowOff>
    </xdr:from>
    <xdr:to>
      <xdr:col>13</xdr:col>
      <xdr:colOff>819151</xdr:colOff>
      <xdr:row>54</xdr:row>
      <xdr:rowOff>19050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86</xdr:row>
      <xdr:rowOff>38100</xdr:rowOff>
    </xdr:from>
    <xdr:to>
      <xdr:col>13</xdr:col>
      <xdr:colOff>723900</xdr:colOff>
      <xdr:row>103</xdr:row>
      <xdr:rowOff>171450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110</xdr:row>
      <xdr:rowOff>66674</xdr:rowOff>
    </xdr:from>
    <xdr:to>
      <xdr:col>13</xdr:col>
      <xdr:colOff>809625</xdr:colOff>
      <xdr:row>125</xdr:row>
      <xdr:rowOff>171449</xdr:rowOff>
    </xdr:to>
    <xdr:graphicFrame macro="">
      <xdr:nvGraphicFramePr>
        <xdr:cNvPr id="5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88107</xdr:colOff>
      <xdr:row>132</xdr:row>
      <xdr:rowOff>0</xdr:rowOff>
    </xdr:from>
    <xdr:to>
      <xdr:col>13</xdr:col>
      <xdr:colOff>859632</xdr:colOff>
      <xdr:row>151</xdr:row>
      <xdr:rowOff>92869</xdr:rowOff>
    </xdr:to>
    <xdr:graphicFrame macro="">
      <xdr:nvGraphicFramePr>
        <xdr:cNvPr id="6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38099</xdr:colOff>
      <xdr:row>62</xdr:row>
      <xdr:rowOff>57150</xdr:rowOff>
    </xdr:from>
    <xdr:to>
      <xdr:col>13</xdr:col>
      <xdr:colOff>818030</xdr:colOff>
      <xdr:row>79</xdr:row>
      <xdr:rowOff>161925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158</xdr:row>
      <xdr:rowOff>79375</xdr:rowOff>
    </xdr:from>
    <xdr:to>
      <xdr:col>13</xdr:col>
      <xdr:colOff>846667</xdr:colOff>
      <xdr:row>177</xdr:row>
      <xdr:rowOff>79375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10</xdr:row>
      <xdr:rowOff>19050</xdr:rowOff>
    </xdr:from>
    <xdr:to>
      <xdr:col>14</xdr:col>
      <xdr:colOff>1</xdr:colOff>
      <xdr:row>26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38101</xdr:colOff>
      <xdr:row>36</xdr:row>
      <xdr:rowOff>57150</xdr:rowOff>
    </xdr:from>
    <xdr:to>
      <xdr:col>13</xdr:col>
      <xdr:colOff>819151</xdr:colOff>
      <xdr:row>54</xdr:row>
      <xdr:rowOff>19050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86</xdr:row>
      <xdr:rowOff>38100</xdr:rowOff>
    </xdr:from>
    <xdr:to>
      <xdr:col>13</xdr:col>
      <xdr:colOff>723900</xdr:colOff>
      <xdr:row>103</xdr:row>
      <xdr:rowOff>171450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110</xdr:row>
      <xdr:rowOff>66674</xdr:rowOff>
    </xdr:from>
    <xdr:to>
      <xdr:col>13</xdr:col>
      <xdr:colOff>809625</xdr:colOff>
      <xdr:row>125</xdr:row>
      <xdr:rowOff>171449</xdr:rowOff>
    </xdr:to>
    <xdr:graphicFrame macro="">
      <xdr:nvGraphicFramePr>
        <xdr:cNvPr id="5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88107</xdr:colOff>
      <xdr:row>132</xdr:row>
      <xdr:rowOff>0</xdr:rowOff>
    </xdr:from>
    <xdr:to>
      <xdr:col>13</xdr:col>
      <xdr:colOff>859632</xdr:colOff>
      <xdr:row>151</xdr:row>
      <xdr:rowOff>92869</xdr:rowOff>
    </xdr:to>
    <xdr:graphicFrame macro="">
      <xdr:nvGraphicFramePr>
        <xdr:cNvPr id="6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38099</xdr:colOff>
      <xdr:row>62</xdr:row>
      <xdr:rowOff>57150</xdr:rowOff>
    </xdr:from>
    <xdr:to>
      <xdr:col>13</xdr:col>
      <xdr:colOff>818030</xdr:colOff>
      <xdr:row>79</xdr:row>
      <xdr:rowOff>161925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158</xdr:row>
      <xdr:rowOff>79375</xdr:rowOff>
    </xdr:from>
    <xdr:to>
      <xdr:col>13</xdr:col>
      <xdr:colOff>846667</xdr:colOff>
      <xdr:row>177</xdr:row>
      <xdr:rowOff>79375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%20Com&#233;rcio%20Exterio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%20Com&#233;rcio%20Exterior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sal"/>
      <sheetName val="Anual"/>
      <sheetName val="Tabela.2018"/>
    </sheetNames>
    <sheetDataSet>
      <sheetData sheetId="0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E14">
            <v>298272.10400000005</v>
          </cell>
          <cell r="F14">
            <v>242883.08600000001</v>
          </cell>
          <cell r="G14">
            <v>400102.01699999999</v>
          </cell>
          <cell r="H14">
            <v>376128.65700000001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8">
          <cell r="H18">
            <v>1512828.1849999996</v>
          </cell>
        </row>
        <row r="26">
          <cell r="E26">
            <v>26079.008000000023</v>
          </cell>
          <cell r="F26">
            <v>28312.486999999994</v>
          </cell>
          <cell r="G26">
            <v>23617.970000000008</v>
          </cell>
          <cell r="H26">
            <v>15618.419000000018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30">
          <cell r="H30">
            <v>1174634.4020000002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sal"/>
      <sheetName val="Anual"/>
      <sheetName val="Tabela.2016"/>
    </sheetNames>
    <sheetDataSet>
      <sheetData sheetId="0" refreshError="1">
        <row r="6">
          <cell r="L6">
            <v>547153.20200000005</v>
          </cell>
          <cell r="M6">
            <v>608765.27099999995</v>
          </cell>
        </row>
        <row r="8">
          <cell r="L8">
            <v>74702.379300000001</v>
          </cell>
        </row>
        <row r="10">
          <cell r="L10">
            <v>369661.26199999999</v>
          </cell>
          <cell r="M10">
            <v>308979.24199999997</v>
          </cell>
        </row>
        <row r="12">
          <cell r="L12">
            <v>48132.271000000001</v>
          </cell>
        </row>
        <row r="14">
          <cell r="L14">
            <v>226776.22600000005</v>
          </cell>
          <cell r="M14">
            <v>330009.11199999985</v>
          </cell>
        </row>
        <row r="26">
          <cell r="L26">
            <v>690038.2379999999</v>
          </cell>
          <cell r="M26">
            <v>587735.40100000007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opLeftCell="E1" workbookViewId="0">
      <selection activeCell="L5" sqref="L5"/>
    </sheetView>
  </sheetViews>
  <sheetFormatPr defaultRowHeight="15"/>
  <cols>
    <col min="1" max="1" width="13.28515625" bestFit="1" customWidth="1"/>
    <col min="2" max="13" width="15.28515625" bestFit="1" customWidth="1"/>
    <col min="14" max="15" width="16.28515625" bestFit="1" customWidth="1"/>
  </cols>
  <sheetData>
    <row r="1" spans="1:15">
      <c r="A1" s="148" t="s">
        <v>49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5">
      <c r="A2" s="150" t="s">
        <v>55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5">
      <c r="A3" s="1"/>
      <c r="B3" s="10" t="s">
        <v>2</v>
      </c>
      <c r="C3" s="10" t="s">
        <v>4</v>
      </c>
      <c r="D3" s="10" t="s">
        <v>3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1" t="s">
        <v>36</v>
      </c>
    </row>
    <row r="4" spans="1:15">
      <c r="A4" s="75" t="s">
        <v>52</v>
      </c>
      <c r="B4" s="15">
        <f>B5+B6</f>
        <v>1157073076</v>
      </c>
      <c r="C4" s="15">
        <f t="shared" ref="C4:L4" si="0">C5+C6</f>
        <v>949746061</v>
      </c>
      <c r="D4" s="15">
        <f t="shared" si="0"/>
        <v>1496914710</v>
      </c>
      <c r="E4" s="15">
        <f t="shared" si="0"/>
        <v>1591507805</v>
      </c>
      <c r="F4" s="15">
        <f t="shared" si="0"/>
        <v>1587207370</v>
      </c>
      <c r="G4" s="15">
        <f t="shared" si="0"/>
        <v>1472288148</v>
      </c>
      <c r="H4" s="15">
        <f t="shared" si="0"/>
        <v>1553128668</v>
      </c>
      <c r="I4" s="15">
        <f t="shared" si="0"/>
        <v>1444890910</v>
      </c>
      <c r="J4" s="15">
        <f t="shared" si="0"/>
        <v>1689170167</v>
      </c>
      <c r="K4" s="15">
        <f t="shared" si="0"/>
        <v>1662237443</v>
      </c>
      <c r="L4" s="15">
        <f t="shared" si="0"/>
        <v>1503573986</v>
      </c>
      <c r="M4" s="15">
        <f>M5+M6</f>
        <v>1540980090</v>
      </c>
      <c r="N4" s="15">
        <f>N5+N6</f>
        <v>17648718434</v>
      </c>
      <c r="O4" s="90"/>
    </row>
    <row r="5" spans="1:15">
      <c r="A5" s="21" t="s">
        <v>26</v>
      </c>
      <c r="B5" s="81">
        <v>558125451</v>
      </c>
      <c r="C5" s="81">
        <v>333459974</v>
      </c>
      <c r="D5" s="81">
        <v>860315283</v>
      </c>
      <c r="E5" s="81">
        <v>648643038</v>
      </c>
      <c r="F5" s="81">
        <v>736015572</v>
      </c>
      <c r="G5" s="81">
        <v>739824573</v>
      </c>
      <c r="H5" s="81">
        <v>627065418</v>
      </c>
      <c r="I5" s="81">
        <v>741466411</v>
      </c>
      <c r="J5" s="81">
        <v>727226516</v>
      </c>
      <c r="K5" s="81">
        <v>979610054</v>
      </c>
      <c r="L5" s="55">
        <v>760613235</v>
      </c>
      <c r="M5" s="46">
        <v>822936618</v>
      </c>
      <c r="N5" s="15">
        <f>SUM(B5:M5)</f>
        <v>8535302143</v>
      </c>
    </row>
    <row r="6" spans="1:15">
      <c r="A6" s="23" t="s">
        <v>27</v>
      </c>
      <c r="B6" s="81">
        <v>598947625</v>
      </c>
      <c r="C6" s="40">
        <v>616286087</v>
      </c>
      <c r="D6" s="81">
        <v>636599427</v>
      </c>
      <c r="E6" s="40">
        <v>942864767</v>
      </c>
      <c r="F6" s="81">
        <v>851191798</v>
      </c>
      <c r="G6" s="81">
        <v>732463575</v>
      </c>
      <c r="H6" s="81">
        <v>926063250</v>
      </c>
      <c r="I6" s="81">
        <v>703424499</v>
      </c>
      <c r="J6" s="81">
        <v>961943651</v>
      </c>
      <c r="K6" s="81">
        <v>682627389</v>
      </c>
      <c r="L6" s="40">
        <v>742960751</v>
      </c>
      <c r="M6" s="40">
        <v>718043472</v>
      </c>
      <c r="N6" s="15">
        <f>SUM(B6:M6)</f>
        <v>9113416291</v>
      </c>
    </row>
    <row r="7" spans="1:15">
      <c r="O7" s="91"/>
    </row>
    <row r="8" spans="1:15">
      <c r="O8" s="91"/>
    </row>
    <row r="9" spans="1:15">
      <c r="O9" s="91"/>
    </row>
    <row r="10" spans="1:15">
      <c r="A10" s="148" t="s">
        <v>65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91"/>
    </row>
    <row r="11" spans="1:15">
      <c r="A11" s="150" t="s">
        <v>55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</row>
    <row r="12" spans="1:15">
      <c r="A12" s="108"/>
      <c r="B12" s="108" t="s">
        <v>2</v>
      </c>
      <c r="C12" s="108" t="s">
        <v>4</v>
      </c>
      <c r="D12" s="108" t="s">
        <v>3</v>
      </c>
      <c r="E12" s="108" t="s">
        <v>5</v>
      </c>
      <c r="F12" s="108" t="s">
        <v>6</v>
      </c>
      <c r="G12" s="108" t="s">
        <v>7</v>
      </c>
      <c r="H12" s="108" t="s">
        <v>8</v>
      </c>
      <c r="I12" s="108" t="s">
        <v>9</v>
      </c>
      <c r="J12" s="108" t="s">
        <v>10</v>
      </c>
      <c r="K12" s="108" t="s">
        <v>11</v>
      </c>
      <c r="L12" s="108" t="s">
        <v>12</v>
      </c>
      <c r="M12" s="108" t="s">
        <v>13</v>
      </c>
      <c r="N12" s="108" t="s">
        <v>36</v>
      </c>
    </row>
    <row r="13" spans="1:15">
      <c r="A13" s="75" t="s">
        <v>52</v>
      </c>
      <c r="B13" s="15">
        <f>B14+B15</f>
        <v>28704528719</v>
      </c>
      <c r="C13" s="15">
        <f t="shared" ref="C13:K13" si="1">C14+C15</f>
        <v>25669546889</v>
      </c>
      <c r="D13" s="15">
        <f t="shared" si="1"/>
        <v>29875313894</v>
      </c>
      <c r="E13" s="15">
        <f t="shared" si="1"/>
        <v>33678719837</v>
      </c>
      <c r="F13" s="15">
        <f t="shared" si="1"/>
        <v>34244552369</v>
      </c>
      <c r="G13" s="15">
        <f t="shared" si="1"/>
        <v>30345511120</v>
      </c>
      <c r="H13" s="15">
        <f t="shared" si="1"/>
        <v>34494651123</v>
      </c>
      <c r="I13" s="15">
        <f t="shared" si="1"/>
        <v>33315871664</v>
      </c>
      <c r="J13" s="15">
        <f t="shared" si="1"/>
        <v>31946843537</v>
      </c>
      <c r="K13" s="15">
        <f t="shared" si="1"/>
        <v>34809470361</v>
      </c>
      <c r="L13" s="15">
        <f>L14+L15</f>
        <v>29983500346</v>
      </c>
      <c r="M13" s="15">
        <f>L14+M15</f>
        <v>30305462764</v>
      </c>
      <c r="N13" s="15">
        <f>N14+N15</f>
        <v>363205031472</v>
      </c>
      <c r="O13" s="90"/>
    </row>
    <row r="14" spans="1:15">
      <c r="A14" s="21" t="s">
        <v>26</v>
      </c>
      <c r="B14" s="81">
        <v>15579442216</v>
      </c>
      <c r="C14" s="81">
        <v>12654906353</v>
      </c>
      <c r="D14" s="81">
        <v>14410449799</v>
      </c>
      <c r="E14" s="81">
        <v>16293170175</v>
      </c>
      <c r="F14" s="81">
        <v>15898283448</v>
      </c>
      <c r="G14" s="81">
        <v>13865219044</v>
      </c>
      <c r="H14" s="81">
        <v>17511156057</v>
      </c>
      <c r="I14" s="81">
        <v>15289978350</v>
      </c>
      <c r="J14" s="81">
        <v>14205738012</v>
      </c>
      <c r="K14" s="81">
        <v>17553909765</v>
      </c>
      <c r="L14" s="81">
        <v>14168941151</v>
      </c>
      <c r="M14" s="81">
        <v>13499863806</v>
      </c>
      <c r="N14" s="15">
        <f>SUM(B14:L14)</f>
        <v>167431194370</v>
      </c>
    </row>
    <row r="15" spans="1:15">
      <c r="A15" s="23" t="s">
        <v>27</v>
      </c>
      <c r="B15" s="81">
        <v>13125086503</v>
      </c>
      <c r="C15" s="81">
        <v>13014640536</v>
      </c>
      <c r="D15" s="81">
        <v>15464864095</v>
      </c>
      <c r="E15" s="81">
        <v>17385549662</v>
      </c>
      <c r="F15" s="81">
        <v>18346268921</v>
      </c>
      <c r="G15" s="81">
        <v>16480292076</v>
      </c>
      <c r="H15" s="81">
        <v>16983495066</v>
      </c>
      <c r="I15" s="81">
        <v>18025893314</v>
      </c>
      <c r="J15" s="81">
        <v>17741105525</v>
      </c>
      <c r="K15" s="81">
        <v>17255560596</v>
      </c>
      <c r="L15" s="81">
        <v>15814559195</v>
      </c>
      <c r="M15" s="81">
        <v>16136521613</v>
      </c>
      <c r="N15" s="15">
        <f>SUM(B15:M15)</f>
        <v>195773837102</v>
      </c>
    </row>
  </sheetData>
  <mergeCells count="4">
    <mergeCell ref="A1:N1"/>
    <mergeCell ref="A2:N2"/>
    <mergeCell ref="A10:N10"/>
    <mergeCell ref="A11:N1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87"/>
  <sheetViews>
    <sheetView topLeftCell="A129" workbookViewId="0">
      <selection activeCell="R11" sqref="R11"/>
    </sheetView>
  </sheetViews>
  <sheetFormatPr defaultRowHeight="15"/>
  <cols>
    <col min="1" max="1" width="33.28515625" bestFit="1" customWidth="1"/>
    <col min="2" max="2" width="12.140625" bestFit="1" customWidth="1"/>
    <col min="3" max="4" width="12.28515625" bestFit="1" customWidth="1"/>
    <col min="5" max="5" width="12.140625" customWidth="1"/>
    <col min="6" max="8" width="12.140625" bestFit="1" customWidth="1"/>
    <col min="9" max="10" width="15.140625" bestFit="1" customWidth="1"/>
    <col min="11" max="11" width="12.140625" customWidth="1"/>
    <col min="12" max="12" width="13.5703125" customWidth="1"/>
    <col min="13" max="13" width="11.7109375" customWidth="1"/>
    <col min="14" max="14" width="13.28515625" bestFit="1" customWidth="1"/>
    <col min="16" max="16" width="10.5703125" bestFit="1" customWidth="1"/>
    <col min="18" max="18" width="11.5703125" bestFit="1" customWidth="1"/>
  </cols>
  <sheetData>
    <row r="1" spans="1:14">
      <c r="A1" s="156" t="s">
        <v>54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>
      <c r="A2" s="156" t="s">
        <v>46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>
      <c r="A3" s="148" t="s">
        <v>25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>
      <c r="A4" s="160">
        <v>2016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14">
      <c r="A5" s="1" t="s">
        <v>16</v>
      </c>
      <c r="B5" s="93" t="s">
        <v>2</v>
      </c>
      <c r="C5" s="93" t="s">
        <v>4</v>
      </c>
      <c r="D5" s="93" t="s">
        <v>3</v>
      </c>
      <c r="E5" s="93" t="s">
        <v>5</v>
      </c>
      <c r="F5" s="93" t="s">
        <v>6</v>
      </c>
      <c r="G5" s="93" t="s">
        <v>7</v>
      </c>
      <c r="H5" s="93" t="s">
        <v>8</v>
      </c>
      <c r="I5" s="93" t="s">
        <v>9</v>
      </c>
      <c r="J5" s="93" t="s">
        <v>10</v>
      </c>
      <c r="K5" s="93" t="s">
        <v>11</v>
      </c>
      <c r="L5" s="93" t="s">
        <v>12</v>
      </c>
      <c r="M5" s="93" t="s">
        <v>13</v>
      </c>
      <c r="N5" s="94" t="s">
        <v>36</v>
      </c>
    </row>
    <row r="6" spans="1:14">
      <c r="A6" s="16" t="s">
        <v>53</v>
      </c>
      <c r="B6" s="15">
        <f>B7+B8</f>
        <v>1052520.8740000001</v>
      </c>
      <c r="C6" s="15">
        <f t="shared" ref="C6:M6" si="0">C7+C8</f>
        <v>1562257.162</v>
      </c>
      <c r="D6" s="15">
        <f t="shared" si="0"/>
        <v>1306649.648</v>
      </c>
      <c r="E6" s="15">
        <f>E7+E8</f>
        <v>2229701.3349999995</v>
      </c>
      <c r="F6" s="15">
        <f>F7+F8</f>
        <v>2094747.4580000003</v>
      </c>
      <c r="G6" s="15">
        <f t="shared" si="0"/>
        <v>1113324.1270000001</v>
      </c>
      <c r="H6" s="15">
        <f t="shared" si="0"/>
        <v>2194903.807</v>
      </c>
      <c r="I6" s="15">
        <f t="shared" si="0"/>
        <v>1917346.8299999991</v>
      </c>
      <c r="J6" s="15">
        <f t="shared" si="0"/>
        <v>1410936.389</v>
      </c>
      <c r="K6" s="15">
        <f t="shared" si="0"/>
        <v>0</v>
      </c>
      <c r="L6" s="15">
        <f t="shared" si="0"/>
        <v>916814.46400000004</v>
      </c>
      <c r="M6" s="15">
        <f t="shared" si="0"/>
        <v>917744.51299999992</v>
      </c>
      <c r="N6" s="15">
        <f>SUM(B6:M6)</f>
        <v>16716946.607000001</v>
      </c>
    </row>
    <row r="7" spans="1:14">
      <c r="A7" s="1" t="s">
        <v>1</v>
      </c>
      <c r="B7" s="3">
        <v>828162.65399999998</v>
      </c>
      <c r="C7" s="3">
        <v>1204327.325</v>
      </c>
      <c r="D7" s="3">
        <v>1026235.144</v>
      </c>
      <c r="E7" s="121">
        <v>1887644.3459999997</v>
      </c>
      <c r="F7" s="3">
        <v>1832829.7620000003</v>
      </c>
      <c r="G7" s="3">
        <v>804297.61900000006</v>
      </c>
      <c r="H7" s="3">
        <v>1926115.0729999999</v>
      </c>
      <c r="I7" s="3">
        <v>1604985.6589999991</v>
      </c>
      <c r="J7" s="3">
        <v>1092566.2560000001</v>
      </c>
      <c r="K7" s="3">
        <f>[1]Mensal!$K$6</f>
        <v>0</v>
      </c>
      <c r="L7" s="3">
        <f>[2]Mensal!$L$6</f>
        <v>547153.20200000005</v>
      </c>
      <c r="M7" s="139">
        <f>[2]Mensal!$M$6</f>
        <v>608765.27099999995</v>
      </c>
      <c r="N7" s="15">
        <f>SUM(B7:M7)</f>
        <v>13363082.310999999</v>
      </c>
    </row>
    <row r="8" spans="1:14">
      <c r="A8" s="1" t="s">
        <v>17</v>
      </c>
      <c r="B8" s="3">
        <v>224358.22000000006</v>
      </c>
      <c r="C8" s="3">
        <v>357929.837</v>
      </c>
      <c r="D8" s="3">
        <v>280414.50400000002</v>
      </c>
      <c r="E8" s="122">
        <v>342056.98899999994</v>
      </c>
      <c r="F8" s="3">
        <v>261917.69600000005</v>
      </c>
      <c r="G8" s="3">
        <v>309026.50800000003</v>
      </c>
      <c r="H8" s="3">
        <v>268788.734</v>
      </c>
      <c r="I8" s="3">
        <v>312361.17099999997</v>
      </c>
      <c r="J8" s="3">
        <v>318370.13300000003</v>
      </c>
      <c r="K8" s="3">
        <f>[1]Mensal!$K$10</f>
        <v>0</v>
      </c>
      <c r="L8" s="3">
        <f>[2]Mensal!$L$10</f>
        <v>369661.26199999999</v>
      </c>
      <c r="M8" s="140">
        <f>[2]Mensal!$M$10</f>
        <v>308979.24199999997</v>
      </c>
      <c r="N8" s="15">
        <f>SUM(B8:M8)</f>
        <v>3353864.2959999996</v>
      </c>
    </row>
    <row r="9" spans="1:14">
      <c r="A9" s="112" t="s">
        <v>68</v>
      </c>
      <c r="B9" s="31">
        <f t="shared" ref="B9:M9" si="1">B8/B6</f>
        <v>0.21316272726007718</v>
      </c>
      <c r="C9" s="31">
        <f t="shared" si="1"/>
        <v>0.22911070322236743</v>
      </c>
      <c r="D9" s="31">
        <f t="shared" si="1"/>
        <v>0.21460573186485871</v>
      </c>
      <c r="E9" s="31">
        <f>E8/E6</f>
        <v>0.15340933049223834</v>
      </c>
      <c r="F9" s="31">
        <f>F8/F6</f>
        <v>0.12503545236430119</v>
      </c>
      <c r="G9" s="31">
        <f t="shared" si="1"/>
        <v>0.27757101504007914</v>
      </c>
      <c r="H9" s="31">
        <f t="shared" si="1"/>
        <v>0.12246037076557861</v>
      </c>
      <c r="I9" s="31">
        <f>I8/I7</f>
        <v>0.19461929098769609</v>
      </c>
      <c r="J9" s="31">
        <f t="shared" si="1"/>
        <v>0.2256445687290301</v>
      </c>
      <c r="K9" s="31" t="e">
        <f t="shared" si="1"/>
        <v>#DIV/0!</v>
      </c>
      <c r="L9" s="31">
        <f t="shared" si="1"/>
        <v>0.40320182165014357</v>
      </c>
      <c r="M9" s="31">
        <f t="shared" si="1"/>
        <v>0.33667239370354046</v>
      </c>
      <c r="N9" s="33">
        <f>N8/N6</f>
        <v>0.20062660812684616</v>
      </c>
    </row>
    <row r="10" spans="1:14">
      <c r="B10" s="41"/>
      <c r="C10" s="41"/>
      <c r="D10" s="41"/>
      <c r="E10" s="41"/>
      <c r="F10" s="41"/>
      <c r="G10" s="41"/>
      <c r="H10" s="41"/>
      <c r="I10" s="41"/>
    </row>
    <row r="28" spans="1:14">
      <c r="A28" s="148" t="s">
        <v>54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</row>
    <row r="29" spans="1:14">
      <c r="A29" s="148" t="s">
        <v>15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</row>
    <row r="30" spans="1:14">
      <c r="A30" s="148" t="s">
        <v>25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</row>
    <row r="31" spans="1:14">
      <c r="A31" s="159">
        <v>2016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</row>
    <row r="32" spans="1:14" s="96" customFormat="1">
      <c r="A32" s="93" t="s">
        <v>16</v>
      </c>
      <c r="B32" s="93" t="s">
        <v>2</v>
      </c>
      <c r="C32" s="93" t="s">
        <v>4</v>
      </c>
      <c r="D32" s="93" t="s">
        <v>3</v>
      </c>
      <c r="E32" s="93" t="s">
        <v>5</v>
      </c>
      <c r="F32" s="93" t="s">
        <v>6</v>
      </c>
      <c r="G32" s="93" t="s">
        <v>7</v>
      </c>
      <c r="H32" s="93" t="s">
        <v>8</v>
      </c>
      <c r="I32" s="93" t="s">
        <v>9</v>
      </c>
      <c r="J32" s="93" t="s">
        <v>10</v>
      </c>
      <c r="K32" s="93" t="s">
        <v>11</v>
      </c>
      <c r="L32" s="93" t="s">
        <v>12</v>
      </c>
      <c r="M32" s="95" t="s">
        <v>13</v>
      </c>
      <c r="N32" s="94" t="s">
        <v>36</v>
      </c>
    </row>
    <row r="33" spans="1:14" s="9" customFormat="1">
      <c r="A33" s="16" t="s">
        <v>36</v>
      </c>
      <c r="B33" s="15">
        <f>B34:G34+B35:G35</f>
        <v>177326.69400000005</v>
      </c>
      <c r="C33" s="15">
        <f t="shared" ref="C33:M33" si="2">C34+C35</f>
        <v>179106.71720000001</v>
      </c>
      <c r="D33" s="15">
        <f t="shared" si="2"/>
        <v>200454.91410000002</v>
      </c>
      <c r="E33" s="15">
        <f t="shared" si="2"/>
        <v>221394.01069999993</v>
      </c>
      <c r="F33" s="15">
        <f t="shared" si="2"/>
        <v>263448.52370000002</v>
      </c>
      <c r="G33" s="15">
        <f t="shared" si="2"/>
        <v>200858.57960000003</v>
      </c>
      <c r="H33" s="15">
        <f t="shared" si="2"/>
        <v>177750.66079999993</v>
      </c>
      <c r="I33" s="15">
        <f t="shared" si="2"/>
        <v>0</v>
      </c>
      <c r="J33" s="15">
        <f t="shared" si="2"/>
        <v>0</v>
      </c>
      <c r="K33" s="15">
        <f t="shared" si="2"/>
        <v>0</v>
      </c>
      <c r="L33" s="15">
        <f t="shared" si="2"/>
        <v>122834.65030000001</v>
      </c>
      <c r="M33" s="97">
        <f t="shared" si="2"/>
        <v>217888.77379999991</v>
      </c>
      <c r="N33" s="15">
        <f>SUM(B33:M33)</f>
        <v>1761063.5242000001</v>
      </c>
    </row>
    <row r="34" spans="1:14">
      <c r="A34" s="1" t="s">
        <v>1</v>
      </c>
      <c r="B34" s="40">
        <v>123370.99600000001</v>
      </c>
      <c r="C34" s="40">
        <v>117387.9672</v>
      </c>
      <c r="D34" s="40">
        <v>140800.63510000001</v>
      </c>
      <c r="E34" s="44">
        <v>163961.25369999994</v>
      </c>
      <c r="F34" s="40">
        <v>186218.07269999996</v>
      </c>
      <c r="G34" s="40">
        <v>130077.5546</v>
      </c>
      <c r="H34" s="40">
        <v>139962.47879999992</v>
      </c>
      <c r="I34" s="40">
        <f>[1]Mensal!$I$8</f>
        <v>0</v>
      </c>
      <c r="J34" s="40">
        <f>[1]Mensal!$J$8</f>
        <v>0</v>
      </c>
      <c r="K34" s="40">
        <f>[1]Mensal!$K$8</f>
        <v>0</v>
      </c>
      <c r="L34" s="40">
        <f>[2]Mensal!$L$8</f>
        <v>74702.379300000001</v>
      </c>
      <c r="M34" s="139">
        <v>120768.85079999996</v>
      </c>
      <c r="N34" s="15">
        <f>SUM(B34:M34)</f>
        <v>1197250.1881999997</v>
      </c>
    </row>
    <row r="35" spans="1:14">
      <c r="A35" s="1" t="s">
        <v>17</v>
      </c>
      <c r="B35" s="40">
        <v>53955.698000000033</v>
      </c>
      <c r="C35" s="40">
        <v>61718.750000000015</v>
      </c>
      <c r="D35" s="40">
        <v>59654.279000000002</v>
      </c>
      <c r="E35" s="40">
        <v>57432.756999999998</v>
      </c>
      <c r="F35" s="40">
        <v>77230.451000000045</v>
      </c>
      <c r="G35" s="40">
        <v>70781.025000000023</v>
      </c>
      <c r="H35" s="40">
        <v>37788.182000000008</v>
      </c>
      <c r="I35" s="40">
        <f>[1]Mensal!$I$12</f>
        <v>0</v>
      </c>
      <c r="J35" s="40">
        <f>[1]Mensal!$J$12</f>
        <v>0</v>
      </c>
      <c r="K35" s="40">
        <f>[1]Mensal!$K$12</f>
        <v>0</v>
      </c>
      <c r="L35" s="126">
        <f xml:space="preserve"> [2]Mensal!$L$12</f>
        <v>48132.271000000001</v>
      </c>
      <c r="M35" s="139">
        <v>97119.922999999952</v>
      </c>
      <c r="N35" s="15">
        <f>SUM(B35:M35)</f>
        <v>563813.33600000013</v>
      </c>
    </row>
    <row r="36" spans="1:14">
      <c r="A36" s="112" t="s">
        <v>68</v>
      </c>
      <c r="B36" s="31">
        <f t="shared" ref="B36:M36" si="3">B35/B33</f>
        <v>0.30427284681684769</v>
      </c>
      <c r="C36" s="31">
        <f t="shared" si="3"/>
        <v>0.34459204526138237</v>
      </c>
      <c r="D36" s="31">
        <f t="shared" si="3"/>
        <v>0.29759449533993737</v>
      </c>
      <c r="E36" s="31">
        <f t="shared" si="3"/>
        <v>0.25941423084757376</v>
      </c>
      <c r="F36" s="31">
        <f t="shared" si="3"/>
        <v>0.29315195968964936</v>
      </c>
      <c r="G36" s="31">
        <f t="shared" si="3"/>
        <v>0.35239234062571262</v>
      </c>
      <c r="H36" s="31">
        <f t="shared" si="3"/>
        <v>0.21259095088551155</v>
      </c>
      <c r="I36" s="31" t="e">
        <f t="shared" si="3"/>
        <v>#DIV/0!</v>
      </c>
      <c r="J36" s="31" t="e">
        <f t="shared" si="3"/>
        <v>#DIV/0!</v>
      </c>
      <c r="K36" s="31" t="e">
        <f t="shared" si="3"/>
        <v>#DIV/0!</v>
      </c>
      <c r="L36" s="31">
        <f t="shared" si="3"/>
        <v>0.3918460375997016</v>
      </c>
      <c r="M36" s="31">
        <f t="shared" si="3"/>
        <v>0.44573165154964028</v>
      </c>
      <c r="N36" s="33">
        <f>N35/N33</f>
        <v>0.32015502464973494</v>
      </c>
    </row>
    <row r="37" spans="1:14">
      <c r="A37" s="27"/>
      <c r="B37" s="35"/>
      <c r="C37" s="35"/>
      <c r="D37" s="35"/>
      <c r="E37" s="43"/>
      <c r="F37" s="35"/>
      <c r="G37" s="35"/>
      <c r="H37" s="35"/>
      <c r="I37" s="35"/>
      <c r="J37" s="35"/>
      <c r="K37" s="35"/>
      <c r="L37" s="35"/>
      <c r="M37" s="35"/>
    </row>
    <row r="56" spans="1:14">
      <c r="A56" s="148" t="s">
        <v>33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</row>
    <row r="57" spans="1:14">
      <c r="A57" s="148" t="s">
        <v>34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</row>
    <row r="58" spans="1:14">
      <c r="A58" s="148" t="s">
        <v>35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</row>
    <row r="59" spans="1:14">
      <c r="A59" s="162">
        <v>2016</v>
      </c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</row>
    <row r="60" spans="1:14">
      <c r="A60" s="16" t="s">
        <v>16</v>
      </c>
      <c r="B60" s="141" t="s">
        <v>76</v>
      </c>
      <c r="C60" s="141" t="s">
        <v>80</v>
      </c>
      <c r="D60" s="141" t="s">
        <v>81</v>
      </c>
      <c r="E60" s="141" t="s">
        <v>78</v>
      </c>
      <c r="F60" s="141" t="s">
        <v>79</v>
      </c>
      <c r="G60" s="141" t="s">
        <v>77</v>
      </c>
      <c r="H60" s="141" t="s">
        <v>82</v>
      </c>
      <c r="I60" s="141" t="s">
        <v>86</v>
      </c>
      <c r="J60" s="141" t="s">
        <v>87</v>
      </c>
      <c r="K60" s="141" t="s">
        <v>88</v>
      </c>
      <c r="L60" s="141" t="s">
        <v>89</v>
      </c>
      <c r="M60" s="141" t="s">
        <v>91</v>
      </c>
      <c r="N60" s="141" t="s">
        <v>92</v>
      </c>
    </row>
    <row r="61" spans="1:14">
      <c r="A61" s="16" t="s">
        <v>1</v>
      </c>
      <c r="B61" s="40">
        <v>129568.62099999996</v>
      </c>
      <c r="C61" s="40">
        <v>123370.99600000001</v>
      </c>
      <c r="D61" s="40">
        <v>117387.9672</v>
      </c>
      <c r="E61" s="40">
        <v>140800.63510000001</v>
      </c>
      <c r="F61" s="40">
        <v>163961.25369999994</v>
      </c>
      <c r="G61" s="40">
        <v>186218.07269999996</v>
      </c>
      <c r="H61" s="40">
        <v>130077.5546</v>
      </c>
      <c r="I61" s="40">
        <v>139962.47879999992</v>
      </c>
      <c r="J61" s="40">
        <v>127834.86319999999</v>
      </c>
      <c r="K61" s="40">
        <v>132443.84729999991</v>
      </c>
      <c r="L61" s="40">
        <v>128002.28829999999</v>
      </c>
      <c r="M61" s="40">
        <f>[2]Mensal!$L$8</f>
        <v>74702.379300000001</v>
      </c>
      <c r="N61" s="139">
        <v>120768.85079999996</v>
      </c>
    </row>
    <row r="62" spans="1:14">
      <c r="A62" s="16" t="s">
        <v>17</v>
      </c>
      <c r="B62" s="40">
        <v>45524.175000000003</v>
      </c>
      <c r="C62" s="40">
        <v>53955.698000000033</v>
      </c>
      <c r="D62" s="40">
        <v>61718.750000000015</v>
      </c>
      <c r="E62" s="40">
        <v>59654.279000000002</v>
      </c>
      <c r="F62" s="40">
        <v>57432.756999999998</v>
      </c>
      <c r="G62" s="40">
        <v>77230.451000000045</v>
      </c>
      <c r="H62" s="40">
        <v>70781.025000000023</v>
      </c>
      <c r="I62" s="40">
        <v>37788.182000000008</v>
      </c>
      <c r="J62" s="40">
        <v>67618.365000000005</v>
      </c>
      <c r="K62" s="40">
        <v>69456.056000000026</v>
      </c>
      <c r="L62" s="40">
        <v>77149.627999999997</v>
      </c>
      <c r="M62" s="127">
        <f xml:space="preserve"> [2]Mensal!$L$12</f>
        <v>48132.271000000001</v>
      </c>
      <c r="N62" s="139">
        <v>97119.922999999952</v>
      </c>
    </row>
    <row r="63" spans="1:14">
      <c r="B63" s="41"/>
    </row>
    <row r="81" spans="1:14">
      <c r="A81" s="148" t="s">
        <v>90</v>
      </c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>
      <c r="A82" s="150" t="s">
        <v>25</v>
      </c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s="96" customFormat="1">
      <c r="A83" s="93"/>
      <c r="B83" s="93" t="s">
        <v>2</v>
      </c>
      <c r="C83" s="93" t="s">
        <v>4</v>
      </c>
      <c r="D83" s="93" t="s">
        <v>3</v>
      </c>
      <c r="E83" s="93" t="s">
        <v>5</v>
      </c>
      <c r="F83" s="93" t="s">
        <v>6</v>
      </c>
      <c r="G83" s="93" t="s">
        <v>7</v>
      </c>
      <c r="H83" s="93" t="s">
        <v>8</v>
      </c>
      <c r="I83" s="93" t="s">
        <v>9</v>
      </c>
      <c r="J83" s="93" t="s">
        <v>10</v>
      </c>
      <c r="K83" s="93" t="s">
        <v>11</v>
      </c>
      <c r="L83" s="93" t="s">
        <v>12</v>
      </c>
      <c r="M83" s="93" t="s">
        <v>13</v>
      </c>
      <c r="N83" s="94" t="s">
        <v>36</v>
      </c>
    </row>
    <row r="84" spans="1:14">
      <c r="A84" s="75" t="s">
        <v>52</v>
      </c>
      <c r="B84" s="15">
        <f>B85+B86</f>
        <v>1052520.8740000001</v>
      </c>
      <c r="C84" s="15">
        <f t="shared" ref="C84:L84" si="4">C85+C86</f>
        <v>1562257.162</v>
      </c>
      <c r="D84" s="15">
        <f t="shared" si="4"/>
        <v>1306649.648</v>
      </c>
      <c r="E84" s="15">
        <f t="shared" si="4"/>
        <v>2229701.335</v>
      </c>
      <c r="F84" s="15">
        <f t="shared" si="4"/>
        <v>2094747.4580000001</v>
      </c>
      <c r="G84" s="15">
        <f t="shared" si="4"/>
        <v>1113324.1269999999</v>
      </c>
      <c r="H84" s="15">
        <f t="shared" si="4"/>
        <v>2194903.807</v>
      </c>
      <c r="I84" s="15">
        <f t="shared" si="4"/>
        <v>1917346.8299999991</v>
      </c>
      <c r="J84" s="15">
        <f t="shared" si="4"/>
        <v>1410936.389</v>
      </c>
      <c r="K84" s="15">
        <f t="shared" si="4"/>
        <v>1304221.1909999999</v>
      </c>
      <c r="L84" s="15">
        <f t="shared" si="4"/>
        <v>916814.46399999992</v>
      </c>
      <c r="M84" s="15">
        <f>M85+M86</f>
        <v>917744.51299999992</v>
      </c>
      <c r="N84" s="15">
        <f>N85+N86</f>
        <v>18021167.798</v>
      </c>
    </row>
    <row r="85" spans="1:14">
      <c r="A85" s="21" t="s">
        <v>26</v>
      </c>
      <c r="B85" s="40">
        <v>441041.89499999996</v>
      </c>
      <c r="C85" s="40">
        <v>895475.51300000004</v>
      </c>
      <c r="D85" s="40">
        <v>503481.35200000013</v>
      </c>
      <c r="E85" s="40">
        <v>1127395.6169999999</v>
      </c>
      <c r="F85" s="40">
        <v>870128.71100000013</v>
      </c>
      <c r="G85" s="40">
        <v>411771.04399999999</v>
      </c>
      <c r="H85" s="40">
        <v>1308443.1929999997</v>
      </c>
      <c r="I85" s="40">
        <v>929310.8259999993</v>
      </c>
      <c r="J85" s="40">
        <v>557040.39099999995</v>
      </c>
      <c r="K85" s="40">
        <v>483268.02799999999</v>
      </c>
      <c r="L85" s="139">
        <f>[2]Mensal!$L$14</f>
        <v>226776.22600000005</v>
      </c>
      <c r="M85" s="139">
        <f>[2]Mensal!$M$14</f>
        <v>330009.11199999985</v>
      </c>
      <c r="N85" s="15">
        <f>SUM(B85:M85)</f>
        <v>8084141.9079999989</v>
      </c>
    </row>
    <row r="86" spans="1:14">
      <c r="A86" s="23" t="s">
        <v>27</v>
      </c>
      <c r="B86" s="40">
        <v>611478.97900000005</v>
      </c>
      <c r="C86" s="40">
        <v>666781.64899999998</v>
      </c>
      <c r="D86" s="40">
        <v>803168.29599999997</v>
      </c>
      <c r="E86" s="40">
        <v>1102305.7179999999</v>
      </c>
      <c r="F86" s="40">
        <v>1224618.747</v>
      </c>
      <c r="G86" s="40">
        <v>701553.08299999998</v>
      </c>
      <c r="H86" s="40">
        <v>886460.61400000006</v>
      </c>
      <c r="I86" s="40">
        <v>988036.00399999984</v>
      </c>
      <c r="J86" s="40">
        <v>853895.99800000002</v>
      </c>
      <c r="K86" s="40">
        <v>820953.16299999994</v>
      </c>
      <c r="L86" s="139">
        <f>[2]Mensal!$L$26</f>
        <v>690038.2379999999</v>
      </c>
      <c r="M86" s="139">
        <f>[2]Mensal!$M$26</f>
        <v>587735.40100000007</v>
      </c>
      <c r="N86" s="15">
        <f>SUM(B86:M86)</f>
        <v>9937025.8900000006</v>
      </c>
    </row>
    <row r="104" spans="1:16">
      <c r="P104" s="142"/>
    </row>
    <row r="105" spans="1:16">
      <c r="A105" s="155" t="s">
        <v>83</v>
      </c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</row>
    <row r="106" spans="1:16">
      <c r="A106" s="154" t="s">
        <v>25</v>
      </c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</row>
    <row r="107" spans="1:16" s="96" customFormat="1">
      <c r="A107" s="93"/>
      <c r="B107" s="93" t="s">
        <v>2</v>
      </c>
      <c r="C107" s="93" t="s">
        <v>4</v>
      </c>
      <c r="D107" s="93" t="s">
        <v>3</v>
      </c>
      <c r="E107" s="93" t="s">
        <v>5</v>
      </c>
      <c r="F107" s="93" t="s">
        <v>6</v>
      </c>
      <c r="G107" s="93" t="s">
        <v>7</v>
      </c>
      <c r="H107" s="93" t="s">
        <v>8</v>
      </c>
      <c r="I107" s="93" t="s">
        <v>9</v>
      </c>
      <c r="J107" s="93" t="s">
        <v>10</v>
      </c>
      <c r="K107" s="93" t="s">
        <v>11</v>
      </c>
      <c r="L107" s="93" t="s">
        <v>12</v>
      </c>
      <c r="M107" s="93" t="s">
        <v>13</v>
      </c>
      <c r="N107" s="94" t="s">
        <v>36</v>
      </c>
    </row>
    <row r="108" spans="1:16">
      <c r="A108" s="19" t="s">
        <v>28</v>
      </c>
      <c r="B108" s="24">
        <v>43073574.818999998</v>
      </c>
      <c r="C108" s="55">
        <v>51140373.255999997</v>
      </c>
      <c r="D108" s="81">
        <f>55430221909/1000</f>
        <v>55430221.909000002</v>
      </c>
      <c r="E108" s="133">
        <v>52601828.061999999</v>
      </c>
      <c r="F108" s="46">
        <v>57368890.332999997</v>
      </c>
      <c r="G108" s="81">
        <v>52290246.973999999</v>
      </c>
      <c r="H108" s="81">
        <v>51522535.435000002</v>
      </c>
      <c r="I108" s="48">
        <f>56378632802/1000</f>
        <v>56378632.802000001</v>
      </c>
      <c r="J108" s="24">
        <f>55673013610/1000</f>
        <v>55673013.609999999</v>
      </c>
      <c r="K108" s="55">
        <f>45597855714/1000</f>
        <v>45597855.714000002</v>
      </c>
      <c r="L108" s="81">
        <f>47922456641/1000</f>
        <v>47922456.641000003</v>
      </c>
      <c r="M108" s="99">
        <f>51017143302/1000</f>
        <v>51017143.302000001</v>
      </c>
      <c r="N108" s="100">
        <f>SUM(B108:M108)</f>
        <v>620016772.85699999</v>
      </c>
      <c r="O108" s="82"/>
    </row>
    <row r="109" spans="1:16">
      <c r="A109" s="18" t="s">
        <v>29</v>
      </c>
      <c r="B109" s="40">
        <f>B86</f>
        <v>611478.97900000005</v>
      </c>
      <c r="C109" s="40">
        <f t="shared" ref="C109:M109" si="5">C86</f>
        <v>666781.64899999998</v>
      </c>
      <c r="D109" s="40">
        <f t="shared" si="5"/>
        <v>803168.29599999997</v>
      </c>
      <c r="E109" s="40">
        <f t="shared" si="5"/>
        <v>1102305.7179999999</v>
      </c>
      <c r="F109" s="40">
        <f t="shared" si="5"/>
        <v>1224618.747</v>
      </c>
      <c r="G109" s="40">
        <f t="shared" si="5"/>
        <v>701553.08299999998</v>
      </c>
      <c r="H109" s="40">
        <f t="shared" si="5"/>
        <v>886460.61400000006</v>
      </c>
      <c r="I109" s="40">
        <f t="shared" si="5"/>
        <v>988036.00399999984</v>
      </c>
      <c r="J109" s="40">
        <f t="shared" si="5"/>
        <v>853895.99800000002</v>
      </c>
      <c r="K109" s="40">
        <f>[1]Mensal!$K$26</f>
        <v>0</v>
      </c>
      <c r="L109" s="40">
        <f t="shared" si="5"/>
        <v>690038.2379999999</v>
      </c>
      <c r="M109" s="40">
        <f t="shared" si="5"/>
        <v>587735.40100000007</v>
      </c>
      <c r="N109" s="15">
        <f>SUM(B109:M109)</f>
        <v>9116072.727</v>
      </c>
    </row>
    <row r="110" spans="1:16">
      <c r="A110" s="115" t="s">
        <v>39</v>
      </c>
      <c r="B110" s="25">
        <f t="shared" ref="B110:N110" si="6">B109/B108</f>
        <v>1.4196151156933304E-2</v>
      </c>
      <c r="C110" s="25">
        <f t="shared" si="6"/>
        <v>1.3038263245796128E-2</v>
      </c>
      <c r="D110" s="25">
        <f>D109/D108</f>
        <v>1.4489718213983777E-2</v>
      </c>
      <c r="E110" s="25">
        <f>E109/E108</f>
        <v>2.0955654178040149E-2</v>
      </c>
      <c r="F110" s="25">
        <f t="shared" si="6"/>
        <v>2.1346390698715835E-2</v>
      </c>
      <c r="G110" s="25">
        <f t="shared" si="6"/>
        <v>1.3416518827092737E-2</v>
      </c>
      <c r="H110" s="25">
        <f>H109/H108</f>
        <v>1.7205298739972619E-2</v>
      </c>
      <c r="I110" s="25">
        <f>I109/H108</f>
        <v>1.9176773729361399E-2</v>
      </c>
      <c r="J110" s="25">
        <f t="shared" si="6"/>
        <v>1.5337700308118816E-2</v>
      </c>
      <c r="K110" s="25">
        <f t="shared" si="6"/>
        <v>0</v>
      </c>
      <c r="L110" s="25">
        <f t="shared" si="6"/>
        <v>1.4399058111091042E-2</v>
      </c>
      <c r="M110" s="25">
        <f t="shared" si="6"/>
        <v>1.1520351061619701E-2</v>
      </c>
      <c r="N110" s="51">
        <f t="shared" si="6"/>
        <v>1.4702945349355123E-2</v>
      </c>
      <c r="O110" s="42"/>
    </row>
    <row r="116" spans="1:18">
      <c r="R116" s="55"/>
    </row>
    <row r="127" spans="1:18">
      <c r="A127" s="155" t="s">
        <v>84</v>
      </c>
      <c r="B127" s="155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</row>
    <row r="128" spans="1:18">
      <c r="A128" s="154" t="s">
        <v>25</v>
      </c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</row>
    <row r="129" spans="1:18" s="96" customFormat="1">
      <c r="A129" s="93"/>
      <c r="B129" s="93" t="s">
        <v>2</v>
      </c>
      <c r="C129" s="93" t="s">
        <v>4</v>
      </c>
      <c r="D129" s="93" t="s">
        <v>3</v>
      </c>
      <c r="E129" s="93" t="s">
        <v>5</v>
      </c>
      <c r="F129" s="93" t="s">
        <v>6</v>
      </c>
      <c r="G129" s="93" t="s">
        <v>7</v>
      </c>
      <c r="H129" s="93" t="s">
        <v>8</v>
      </c>
      <c r="I129" s="93" t="s">
        <v>9</v>
      </c>
      <c r="J129" s="93" t="s">
        <v>10</v>
      </c>
      <c r="K129" s="93" t="s">
        <v>11</v>
      </c>
      <c r="L129" s="93" t="s">
        <v>12</v>
      </c>
      <c r="M129" s="93" t="s">
        <v>13</v>
      </c>
      <c r="N129" s="94" t="s">
        <v>36</v>
      </c>
    </row>
    <row r="130" spans="1:18">
      <c r="A130" s="19" t="s">
        <v>28</v>
      </c>
      <c r="B130" s="40">
        <v>8544577.1940000001</v>
      </c>
      <c r="C130" s="134">
        <v>9720684.0960000008</v>
      </c>
      <c r="D130" s="133">
        <v>11026141.289999999</v>
      </c>
      <c r="E130" s="134">
        <v>10183240.727</v>
      </c>
      <c r="F130" s="134">
        <v>9586280.3159999996</v>
      </c>
      <c r="G130" s="55">
        <f>10825207609/1000</f>
        <v>10825207.608999999</v>
      </c>
      <c r="H130" s="134">
        <v>9999491.6649999991</v>
      </c>
      <c r="I130" s="48">
        <f>11464780895/1000</f>
        <v>11464780.895</v>
      </c>
      <c r="J130" s="40">
        <f>13047190951/1000</f>
        <v>13047190.950999999</v>
      </c>
      <c r="K130" s="40">
        <f>9071037162/1000</f>
        <v>9071037.1620000005</v>
      </c>
      <c r="L130" s="55">
        <f>9880261446/1000</f>
        <v>9880261.4460000005</v>
      </c>
      <c r="M130" s="40">
        <f>11082929212/1000</f>
        <v>11082929.211999999</v>
      </c>
      <c r="N130" s="15">
        <f>SUM(B130:M130)</f>
        <v>124431822.56299998</v>
      </c>
    </row>
    <row r="131" spans="1:18" ht="15" customHeight="1">
      <c r="A131" s="18" t="s">
        <v>29</v>
      </c>
      <c r="B131" s="40">
        <f>B85</f>
        <v>441041.89499999996</v>
      </c>
      <c r="C131" s="40">
        <f t="shared" ref="C131:M131" si="7">C85</f>
        <v>895475.51300000004</v>
      </c>
      <c r="D131" s="40">
        <f t="shared" si="7"/>
        <v>503481.35200000013</v>
      </c>
      <c r="E131" s="40">
        <f t="shared" si="7"/>
        <v>1127395.6169999999</v>
      </c>
      <c r="F131" s="40">
        <f t="shared" si="7"/>
        <v>870128.71100000013</v>
      </c>
      <c r="G131" s="40">
        <f t="shared" si="7"/>
        <v>411771.04399999999</v>
      </c>
      <c r="H131" s="40">
        <f t="shared" si="7"/>
        <v>1308443.1929999997</v>
      </c>
      <c r="I131" s="40">
        <f t="shared" si="7"/>
        <v>929310.8259999993</v>
      </c>
      <c r="J131" s="40">
        <f t="shared" si="7"/>
        <v>557040.39099999995</v>
      </c>
      <c r="K131" s="40">
        <v>877800.1529999997</v>
      </c>
      <c r="L131" s="40">
        <f t="shared" si="7"/>
        <v>226776.22600000005</v>
      </c>
      <c r="M131" s="40">
        <f t="shared" si="7"/>
        <v>330009.11199999985</v>
      </c>
      <c r="N131" s="15">
        <f>SUM(B131:M131)</f>
        <v>8478674.0329999998</v>
      </c>
      <c r="P131" s="82"/>
      <c r="R131" s="82"/>
    </row>
    <row r="132" spans="1:18">
      <c r="A132" s="115" t="s">
        <v>39</v>
      </c>
      <c r="B132" s="25">
        <f t="shared" ref="B132:M132" si="8">B131/B130</f>
        <v>5.161658499728921E-2</v>
      </c>
      <c r="C132" s="25">
        <f t="shared" si="8"/>
        <v>9.2120626918478138E-2</v>
      </c>
      <c r="D132" s="25">
        <f t="shared" si="8"/>
        <v>4.5662515902696196E-2</v>
      </c>
      <c r="E132" s="25">
        <f t="shared" si="8"/>
        <v>0.11071088735148978</v>
      </c>
      <c r="F132" s="25">
        <f t="shared" si="8"/>
        <v>9.0768127189824618E-2</v>
      </c>
      <c r="G132" s="25">
        <f t="shared" si="8"/>
        <v>3.803816599855845E-2</v>
      </c>
      <c r="H132" s="25">
        <f>H131/H130</f>
        <v>0.13085097091282988</v>
      </c>
      <c r="I132" s="25">
        <f>I131/H130</f>
        <v>9.2935806852337571E-2</v>
      </c>
      <c r="J132" s="25">
        <f t="shared" si="8"/>
        <v>4.2694277495594228E-2</v>
      </c>
      <c r="K132" s="25">
        <f t="shared" si="8"/>
        <v>9.6769546560479591E-2</v>
      </c>
      <c r="L132" s="25">
        <f t="shared" si="8"/>
        <v>2.2952451940612347E-2</v>
      </c>
      <c r="M132" s="25">
        <f t="shared" si="8"/>
        <v>2.97763439328552E-2</v>
      </c>
      <c r="N132" s="51">
        <f>N131/N130</f>
        <v>6.8139113117203096E-2</v>
      </c>
      <c r="O132" s="42"/>
    </row>
    <row r="150" spans="1:15">
      <c r="A150" t="s">
        <v>21</v>
      </c>
    </row>
    <row r="153" spans="1:15">
      <c r="A153" s="152" t="s">
        <v>85</v>
      </c>
      <c r="B153" s="152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</row>
    <row r="154" spans="1:15">
      <c r="A154" s="103"/>
      <c r="B154" s="93" t="s">
        <v>2</v>
      </c>
      <c r="C154" s="93" t="s">
        <v>4</v>
      </c>
      <c r="D154" s="93" t="s">
        <v>3</v>
      </c>
      <c r="E154" s="93" t="s">
        <v>5</v>
      </c>
      <c r="F154" s="93" t="s">
        <v>6</v>
      </c>
      <c r="G154" s="93" t="s">
        <v>7</v>
      </c>
      <c r="H154" s="93" t="s">
        <v>8</v>
      </c>
      <c r="I154" s="93" t="s">
        <v>9</v>
      </c>
      <c r="J154" s="93" t="s">
        <v>10</v>
      </c>
      <c r="K154" s="93" t="s">
        <v>11</v>
      </c>
      <c r="L154" s="93" t="s">
        <v>12</v>
      </c>
      <c r="M154" s="93" t="s">
        <v>13</v>
      </c>
      <c r="N154" s="94" t="s">
        <v>36</v>
      </c>
    </row>
    <row r="155" spans="1:15">
      <c r="A155" s="19" t="s">
        <v>28</v>
      </c>
      <c r="B155" s="102">
        <f>B108+B130</f>
        <v>51618152.012999997</v>
      </c>
      <c r="C155" s="102">
        <f t="shared" ref="C155:N155" si="9">C108+C130</f>
        <v>60861057.351999998</v>
      </c>
      <c r="D155" s="102">
        <f>D108+D130</f>
        <v>66456363.199000001</v>
      </c>
      <c r="E155" s="102">
        <f>E108+E130</f>
        <v>62785068.788999997</v>
      </c>
      <c r="F155" s="102">
        <f t="shared" si="9"/>
        <v>66955170.648999996</v>
      </c>
      <c r="G155" s="102">
        <f t="shared" si="9"/>
        <v>63115454.582999997</v>
      </c>
      <c r="H155" s="102">
        <f>H130+H108</f>
        <v>61522027.100000001</v>
      </c>
      <c r="I155" s="102">
        <f>I130+I108</f>
        <v>67843413.696999997</v>
      </c>
      <c r="J155" s="102">
        <f t="shared" si="9"/>
        <v>68720204.561000004</v>
      </c>
      <c r="K155" s="102">
        <f t="shared" si="9"/>
        <v>54668892.876000002</v>
      </c>
      <c r="L155" s="102">
        <f t="shared" si="9"/>
        <v>57802718.087000005</v>
      </c>
      <c r="M155" s="102">
        <f>M108+M130</f>
        <v>62100072.513999999</v>
      </c>
      <c r="N155" s="105">
        <f t="shared" si="9"/>
        <v>744448595.41999996</v>
      </c>
    </row>
    <row r="156" spans="1:15">
      <c r="A156" s="18" t="s">
        <v>29</v>
      </c>
      <c r="B156" s="15">
        <f>B86+B85</f>
        <v>1052520.8740000001</v>
      </c>
      <c r="C156" s="15">
        <f t="shared" ref="C156:M156" si="10">C86+C85</f>
        <v>1562257.162</v>
      </c>
      <c r="D156" s="15">
        <f t="shared" si="10"/>
        <v>1306649.648</v>
      </c>
      <c r="E156" s="15">
        <f t="shared" si="10"/>
        <v>2229701.335</v>
      </c>
      <c r="F156" s="15">
        <f t="shared" si="10"/>
        <v>2094747.4580000001</v>
      </c>
      <c r="G156" s="15">
        <f t="shared" si="10"/>
        <v>1113324.1269999999</v>
      </c>
      <c r="H156" s="15">
        <f t="shared" si="10"/>
        <v>2194903.807</v>
      </c>
      <c r="I156" s="15">
        <f t="shared" si="10"/>
        <v>1917346.8299999991</v>
      </c>
      <c r="J156" s="15">
        <f t="shared" si="10"/>
        <v>1410936.389</v>
      </c>
      <c r="K156" s="15">
        <f t="shared" si="10"/>
        <v>1304221.1909999999</v>
      </c>
      <c r="L156" s="15">
        <f t="shared" si="10"/>
        <v>916814.46399999992</v>
      </c>
      <c r="M156" s="15">
        <f t="shared" si="10"/>
        <v>917744.51299999992</v>
      </c>
      <c r="N156" s="15">
        <f>N131+N109</f>
        <v>17594746.759999998</v>
      </c>
      <c r="O156" s="143"/>
    </row>
    <row r="157" spans="1:15">
      <c r="A157" s="115" t="s">
        <v>39</v>
      </c>
      <c r="B157" s="119">
        <f>B156/B155</f>
        <v>2.0390518314854111E-2</v>
      </c>
      <c r="C157" s="119">
        <f t="shared" ref="C157:M157" si="11">C156/C155</f>
        <v>2.5669241218804779E-2</v>
      </c>
      <c r="D157" s="119">
        <f t="shared" si="11"/>
        <v>1.9661768792362411E-2</v>
      </c>
      <c r="E157" s="119">
        <f t="shared" si="11"/>
        <v>3.5513241890254101E-2</v>
      </c>
      <c r="F157" s="119">
        <f t="shared" si="11"/>
        <v>3.1285820612441173E-2</v>
      </c>
      <c r="G157" s="119">
        <f t="shared" si="11"/>
        <v>1.763948519987165E-2</v>
      </c>
      <c r="H157" s="119">
        <f t="shared" si="11"/>
        <v>3.5676714673792013E-2</v>
      </c>
      <c r="I157" s="119">
        <f t="shared" si="11"/>
        <v>2.8261355458367558E-2</v>
      </c>
      <c r="J157" s="119">
        <f t="shared" si="11"/>
        <v>2.0531609269986553E-2</v>
      </c>
      <c r="K157" s="119">
        <f t="shared" si="11"/>
        <v>2.3856733187522836E-2</v>
      </c>
      <c r="L157" s="119">
        <f t="shared" si="11"/>
        <v>1.5861096058148762E-2</v>
      </c>
      <c r="M157" s="119">
        <f t="shared" si="11"/>
        <v>1.4778477316481414E-2</v>
      </c>
      <c r="N157" s="104">
        <f>N156/N155</f>
        <v>2.3634602668668434E-2</v>
      </c>
    </row>
    <row r="158" spans="1:15" ht="15" customHeight="1">
      <c r="A158" s="68"/>
      <c r="B158" s="70"/>
      <c r="C158" s="70"/>
      <c r="D158" s="70"/>
      <c r="E158" s="70"/>
      <c r="F158" s="70"/>
      <c r="G158" s="70"/>
      <c r="H158" s="70"/>
      <c r="I158" s="70"/>
      <c r="J158" s="86"/>
      <c r="K158" s="88"/>
      <c r="L158" s="70"/>
      <c r="M158" s="70"/>
      <c r="N158" s="72"/>
    </row>
    <row r="159" spans="1:15">
      <c r="A159" s="68"/>
      <c r="B159" s="73"/>
      <c r="C159" s="73"/>
      <c r="D159" s="73"/>
      <c r="E159" s="73"/>
      <c r="F159" s="73"/>
      <c r="G159" s="73"/>
      <c r="H159" s="73"/>
      <c r="I159" s="73"/>
      <c r="J159" s="89"/>
      <c r="K159" s="88"/>
      <c r="L159" s="73"/>
      <c r="M159" s="73"/>
      <c r="N159" s="74"/>
      <c r="O159" s="42"/>
    </row>
    <row r="160" spans="1:15">
      <c r="K160" s="87"/>
    </row>
    <row r="161" spans="1:14">
      <c r="B161" s="48"/>
      <c r="C161" s="48"/>
      <c r="D161" s="48"/>
      <c r="E161" s="48"/>
    </row>
    <row r="162" spans="1:14">
      <c r="B162" s="55"/>
      <c r="C162" s="55"/>
      <c r="D162" s="55"/>
      <c r="E162" s="55"/>
    </row>
    <row r="163" spans="1:14">
      <c r="B163" s="55"/>
      <c r="C163" s="55"/>
      <c r="D163" s="55"/>
      <c r="E163" s="55"/>
    </row>
    <row r="164" spans="1:14">
      <c r="B164" s="55"/>
      <c r="C164" s="55"/>
      <c r="D164" s="55"/>
      <c r="E164" s="55"/>
    </row>
    <row r="165" spans="1:14">
      <c r="B165" s="55"/>
      <c r="C165" s="55"/>
      <c r="D165" s="55"/>
      <c r="E165" s="55"/>
    </row>
    <row r="166" spans="1:14">
      <c r="B166" s="55"/>
      <c r="C166" s="55"/>
      <c r="D166" s="55"/>
      <c r="E166" s="55"/>
    </row>
    <row r="167" spans="1:14">
      <c r="B167" s="55"/>
      <c r="C167" s="55"/>
      <c r="D167" s="55"/>
      <c r="E167" s="55"/>
    </row>
    <row r="168" spans="1:14">
      <c r="B168" s="55"/>
      <c r="C168" s="55"/>
      <c r="D168" s="55"/>
      <c r="E168" s="55"/>
    </row>
    <row r="169" spans="1:14">
      <c r="B169" s="55"/>
      <c r="C169" s="55"/>
      <c r="D169" s="55"/>
      <c r="E169" s="55"/>
    </row>
    <row r="170" spans="1:14">
      <c r="B170" s="55"/>
      <c r="C170" s="55"/>
      <c r="D170" s="55"/>
      <c r="E170" s="55"/>
    </row>
    <row r="171" spans="1:14">
      <c r="B171" s="55"/>
      <c r="C171" s="55"/>
      <c r="D171" s="55"/>
      <c r="E171" s="55"/>
    </row>
    <row r="176" spans="1:14">
      <c r="A176" s="161"/>
      <c r="B176" s="161"/>
      <c r="C176" s="161"/>
      <c r="D176" s="161"/>
      <c r="E176" s="161"/>
      <c r="F176" s="161"/>
      <c r="G176" s="161"/>
      <c r="H176" s="161"/>
      <c r="I176" s="161"/>
      <c r="J176" s="161"/>
      <c r="K176" s="161"/>
      <c r="L176" s="161"/>
      <c r="M176" s="161"/>
      <c r="N176" s="161"/>
    </row>
    <row r="177" spans="1:15">
      <c r="A177" s="161"/>
      <c r="B177" s="161"/>
      <c r="C177" s="161"/>
      <c r="D177" s="161"/>
      <c r="E177" s="161"/>
      <c r="F177" s="161"/>
      <c r="G177" s="161"/>
      <c r="H177" s="161"/>
      <c r="I177" s="161"/>
      <c r="J177" s="161"/>
      <c r="K177" s="161"/>
      <c r="L177" s="161"/>
      <c r="M177" s="161"/>
      <c r="N177" s="161"/>
    </row>
    <row r="178" spans="1:15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9"/>
    </row>
    <row r="179" spans="1:15">
      <c r="A179" s="68"/>
      <c r="B179" s="70"/>
      <c r="C179" s="70"/>
      <c r="D179" s="71"/>
      <c r="E179" s="71"/>
      <c r="F179" s="70"/>
      <c r="G179" s="70"/>
      <c r="H179" s="70"/>
      <c r="I179" s="70"/>
      <c r="J179" s="70"/>
      <c r="K179" s="70"/>
      <c r="L179" s="70"/>
      <c r="M179" s="70"/>
      <c r="N179" s="72"/>
    </row>
    <row r="180" spans="1:15" ht="15" customHeight="1">
      <c r="A180" s="68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2"/>
    </row>
    <row r="181" spans="1:15">
      <c r="A181" s="68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4"/>
      <c r="O181" s="42"/>
    </row>
    <row r="183" spans="1:15">
      <c r="A183" s="68" t="s">
        <v>71</v>
      </c>
    </row>
    <row r="184" spans="1:15">
      <c r="B184" s="55"/>
      <c r="C184" s="55"/>
      <c r="D184" s="55"/>
      <c r="E184" s="55"/>
    </row>
    <row r="185" spans="1:15">
      <c r="A185" s="68"/>
      <c r="B185" s="70"/>
      <c r="C185" s="70"/>
      <c r="D185" s="70"/>
      <c r="E185" s="70"/>
    </row>
    <row r="186" spans="1:15">
      <c r="B186" s="55"/>
      <c r="C186" s="55"/>
      <c r="D186" s="55"/>
      <c r="E186" s="55"/>
    </row>
    <row r="187" spans="1:15">
      <c r="B187" s="55"/>
      <c r="C187" s="55"/>
      <c r="D187" s="55"/>
      <c r="E187" s="55"/>
    </row>
  </sheetData>
  <mergeCells count="21">
    <mergeCell ref="A59:N59"/>
    <mergeCell ref="A1:N1"/>
    <mergeCell ref="A2:N2"/>
    <mergeCell ref="A3:N3"/>
    <mergeCell ref="A4:N4"/>
    <mergeCell ref="A28:N28"/>
    <mergeCell ref="A29:N29"/>
    <mergeCell ref="A30:N30"/>
    <mergeCell ref="A31:N31"/>
    <mergeCell ref="A56:N56"/>
    <mergeCell ref="A57:N57"/>
    <mergeCell ref="A58:N58"/>
    <mergeCell ref="A153:N153"/>
    <mergeCell ref="A176:N176"/>
    <mergeCell ref="A177:N177"/>
    <mergeCell ref="A81:N81"/>
    <mergeCell ref="A82:N82"/>
    <mergeCell ref="A105:N105"/>
    <mergeCell ref="A106:N106"/>
    <mergeCell ref="A127:N127"/>
    <mergeCell ref="A128:N12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87"/>
  <sheetViews>
    <sheetView topLeftCell="A120" workbookViewId="0">
      <selection activeCell="A183" sqref="A183"/>
    </sheetView>
  </sheetViews>
  <sheetFormatPr defaultRowHeight="15"/>
  <cols>
    <col min="1" max="1" width="33.28515625" bestFit="1" customWidth="1"/>
    <col min="2" max="2" width="15.28515625" bestFit="1" customWidth="1"/>
    <col min="3" max="4" width="12.28515625" bestFit="1" customWidth="1"/>
    <col min="5" max="5" width="12.140625" customWidth="1"/>
    <col min="6" max="8" width="12.140625" bestFit="1" customWidth="1"/>
    <col min="9" max="9" width="15.140625" bestFit="1" customWidth="1"/>
    <col min="10" max="10" width="15.28515625" bestFit="1" customWidth="1"/>
    <col min="11" max="11" width="12.140625" customWidth="1"/>
    <col min="12" max="12" width="13.5703125" customWidth="1"/>
    <col min="13" max="13" width="11.7109375" customWidth="1"/>
    <col min="14" max="14" width="15.28515625" bestFit="1" customWidth="1"/>
    <col min="16" max="16" width="10.5703125" bestFit="1" customWidth="1"/>
    <col min="18" max="18" width="11.5703125" bestFit="1" customWidth="1"/>
  </cols>
  <sheetData>
    <row r="1" spans="1:14">
      <c r="A1" s="156" t="s">
        <v>54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>
      <c r="A2" s="156" t="s">
        <v>46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>
      <c r="A3" s="148" t="s">
        <v>25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>
      <c r="A4" s="160">
        <v>2017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14">
      <c r="A5" s="1" t="s">
        <v>16</v>
      </c>
      <c r="B5" s="93" t="s">
        <v>2</v>
      </c>
      <c r="C5" s="93" t="s">
        <v>4</v>
      </c>
      <c r="D5" s="93" t="s">
        <v>3</v>
      </c>
      <c r="E5" s="93" t="s">
        <v>5</v>
      </c>
      <c r="F5" s="93" t="s">
        <v>6</v>
      </c>
      <c r="G5" s="93" t="s">
        <v>7</v>
      </c>
      <c r="H5" s="93" t="s">
        <v>8</v>
      </c>
      <c r="I5" s="93" t="s">
        <v>9</v>
      </c>
      <c r="J5" s="93" t="s">
        <v>10</v>
      </c>
      <c r="K5" s="93" t="s">
        <v>11</v>
      </c>
      <c r="L5" s="93" t="s">
        <v>12</v>
      </c>
      <c r="M5" s="93" t="s">
        <v>13</v>
      </c>
      <c r="N5" s="94" t="s">
        <v>36</v>
      </c>
    </row>
    <row r="6" spans="1:14">
      <c r="A6" s="16" t="s">
        <v>53</v>
      </c>
      <c r="B6" s="15">
        <f>B7+B8</f>
        <v>2506380.5089999996</v>
      </c>
      <c r="C6" s="15">
        <f t="shared" ref="C6:M6" si="0">C7+C8</f>
        <v>1259521.8640000001</v>
      </c>
      <c r="D6" s="15">
        <f t="shared" si="0"/>
        <v>1767685.5689999997</v>
      </c>
      <c r="E6" s="15">
        <f>E7+E8</f>
        <v>1468049.9350000003</v>
      </c>
      <c r="F6" s="15">
        <f>F7+F8</f>
        <v>1729741.027</v>
      </c>
      <c r="G6" s="15">
        <f t="shared" si="0"/>
        <v>1733946.6459999999</v>
      </c>
      <c r="H6" s="15">
        <f t="shared" si="0"/>
        <v>1839066.5610000002</v>
      </c>
      <c r="I6" s="15">
        <f t="shared" si="0"/>
        <v>2113108.693</v>
      </c>
      <c r="J6" s="15">
        <f t="shared" si="0"/>
        <v>0</v>
      </c>
      <c r="K6" s="15">
        <f t="shared" si="0"/>
        <v>0</v>
      </c>
      <c r="L6" s="15">
        <f t="shared" si="0"/>
        <v>0</v>
      </c>
      <c r="M6" s="15">
        <f t="shared" si="0"/>
        <v>0</v>
      </c>
      <c r="N6" s="15">
        <f>SUM(B6:M6)</f>
        <v>14417500.804000001</v>
      </c>
    </row>
    <row r="7" spans="1:14">
      <c r="A7" s="1" t="s">
        <v>1</v>
      </c>
      <c r="B7" s="3">
        <v>2150011.0979999998</v>
      </c>
      <c r="C7" s="3">
        <v>1021983.529</v>
      </c>
      <c r="D7" s="3">
        <v>1420283.2389999998</v>
      </c>
      <c r="E7" s="121">
        <v>1233640.9510000004</v>
      </c>
      <c r="F7" s="3">
        <v>1440048.628</v>
      </c>
      <c r="G7" s="3">
        <v>1413392.0789999999</v>
      </c>
      <c r="H7" s="3">
        <v>1584707.9610000001</v>
      </c>
      <c r="I7" s="3">
        <v>1735634</v>
      </c>
      <c r="J7" s="3">
        <f>[1]Mensal!$J$6</f>
        <v>0</v>
      </c>
      <c r="K7" s="3">
        <f>[1]Mensal!$K$6</f>
        <v>0</v>
      </c>
      <c r="L7" s="3">
        <f>[1]Mensal!$L$6</f>
        <v>0</v>
      </c>
      <c r="M7" s="139">
        <f>[1]Mensal!$M$6</f>
        <v>0</v>
      </c>
      <c r="N7" s="15">
        <f>SUM(B7:M7)</f>
        <v>11999701.484999999</v>
      </c>
    </row>
    <row r="8" spans="1:14">
      <c r="A8" s="1" t="s">
        <v>17</v>
      </c>
      <c r="B8" s="3">
        <v>356369.41099999996</v>
      </c>
      <c r="C8" s="3">
        <v>237538.33500000002</v>
      </c>
      <c r="D8" s="3">
        <v>347402.32999999996</v>
      </c>
      <c r="E8" s="122">
        <v>234408.984</v>
      </c>
      <c r="F8" s="3">
        <v>289692.39900000003</v>
      </c>
      <c r="G8" s="3">
        <v>320554.56700000004</v>
      </c>
      <c r="H8" s="3">
        <v>254358.60000000006</v>
      </c>
      <c r="I8" s="3">
        <v>377474.69299999997</v>
      </c>
      <c r="J8" s="3">
        <f>[1]Mensal!$J$10</f>
        <v>0</v>
      </c>
      <c r="K8" s="3">
        <f>[1]Mensal!$K$10</f>
        <v>0</v>
      </c>
      <c r="L8" s="3">
        <f>[1]Mensal!$L$10</f>
        <v>0</v>
      </c>
      <c r="M8" s="140">
        <f>[1]Mensal!$M$10</f>
        <v>0</v>
      </c>
      <c r="N8" s="15">
        <f>SUM(B8:M8)</f>
        <v>2417799.3190000001</v>
      </c>
    </row>
    <row r="9" spans="1:14">
      <c r="A9" s="112" t="s">
        <v>68</v>
      </c>
      <c r="B9" s="31">
        <f t="shared" ref="B9:M9" si="1">B8/B6</f>
        <v>0.14218487963832152</v>
      </c>
      <c r="C9" s="31">
        <f t="shared" si="1"/>
        <v>0.18859405444985591</v>
      </c>
      <c r="D9" s="31">
        <f t="shared" si="1"/>
        <v>0.19652948244439733</v>
      </c>
      <c r="E9" s="31">
        <f>E8/E6</f>
        <v>0.15967371300622682</v>
      </c>
      <c r="F9" s="31">
        <f>F8/F6</f>
        <v>0.16747732433821727</v>
      </c>
      <c r="G9" s="31">
        <f t="shared" si="1"/>
        <v>0.18486991381163873</v>
      </c>
      <c r="H9" s="31">
        <f t="shared" si="1"/>
        <v>0.13830853401069482</v>
      </c>
      <c r="I9" s="31">
        <f>I8/I7</f>
        <v>0.21748519157840879</v>
      </c>
      <c r="J9" s="31" t="e">
        <f t="shared" si="1"/>
        <v>#DIV/0!</v>
      </c>
      <c r="K9" s="31" t="e">
        <f t="shared" si="1"/>
        <v>#DIV/0!</v>
      </c>
      <c r="L9" s="31" t="e">
        <f t="shared" si="1"/>
        <v>#DIV/0!</v>
      </c>
      <c r="M9" s="31" t="e">
        <f t="shared" si="1"/>
        <v>#DIV/0!</v>
      </c>
      <c r="N9" s="33">
        <f>N8/N6</f>
        <v>0.16769892035166067</v>
      </c>
    </row>
    <row r="10" spans="1:14">
      <c r="B10" s="41"/>
      <c r="C10" s="41"/>
      <c r="D10" s="41"/>
      <c r="E10" s="41"/>
      <c r="F10" s="41"/>
      <c r="G10" s="41"/>
      <c r="H10" s="41"/>
      <c r="I10" s="41"/>
    </row>
    <row r="28" spans="1:14">
      <c r="A28" s="148" t="s">
        <v>54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</row>
    <row r="29" spans="1:14">
      <c r="A29" s="148" t="s">
        <v>15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</row>
    <row r="30" spans="1:14">
      <c r="A30" s="148" t="s">
        <v>25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</row>
    <row r="31" spans="1:14">
      <c r="A31" s="159">
        <v>2017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</row>
    <row r="32" spans="1:14" s="96" customFormat="1">
      <c r="A32" s="93" t="s">
        <v>16</v>
      </c>
      <c r="B32" s="93" t="s">
        <v>2</v>
      </c>
      <c r="C32" s="93" t="s">
        <v>4</v>
      </c>
      <c r="D32" s="93" t="s">
        <v>3</v>
      </c>
      <c r="E32" s="93" t="s">
        <v>5</v>
      </c>
      <c r="F32" s="93" t="s">
        <v>6</v>
      </c>
      <c r="G32" s="93" t="s">
        <v>7</v>
      </c>
      <c r="H32" s="93" t="s">
        <v>8</v>
      </c>
      <c r="I32" s="93" t="s">
        <v>9</v>
      </c>
      <c r="J32" s="93" t="s">
        <v>10</v>
      </c>
      <c r="K32" s="93" t="s">
        <v>11</v>
      </c>
      <c r="L32" s="93" t="s">
        <v>12</v>
      </c>
      <c r="M32" s="95" t="s">
        <v>13</v>
      </c>
      <c r="N32" s="94" t="s">
        <v>36</v>
      </c>
    </row>
    <row r="33" spans="1:14" s="9" customFormat="1">
      <c r="A33" s="16" t="s">
        <v>36</v>
      </c>
      <c r="B33" s="15">
        <f>B34:G34+B35:G35</f>
        <v>213694.77989999999</v>
      </c>
      <c r="C33" s="15">
        <f t="shared" ref="C33:M33" si="2">C34+C35</f>
        <v>159531.0926</v>
      </c>
      <c r="D33" s="15">
        <f t="shared" si="2"/>
        <v>185674.18609999999</v>
      </c>
      <c r="E33" s="15">
        <f t="shared" si="2"/>
        <v>139715.8492</v>
      </c>
      <c r="F33" s="15">
        <f t="shared" si="2"/>
        <v>251696.42200000002</v>
      </c>
      <c r="G33" s="15">
        <f t="shared" si="2"/>
        <v>195443.92109999992</v>
      </c>
      <c r="H33" s="15">
        <f t="shared" si="2"/>
        <v>193970.58170000004</v>
      </c>
      <c r="I33" s="15">
        <f t="shared" si="2"/>
        <v>183704.53439999995</v>
      </c>
      <c r="J33" s="15">
        <f t="shared" si="2"/>
        <v>0</v>
      </c>
      <c r="K33" s="15">
        <f t="shared" si="2"/>
        <v>0</v>
      </c>
      <c r="L33" s="15">
        <f t="shared" si="2"/>
        <v>0</v>
      </c>
      <c r="M33" s="97">
        <f t="shared" si="2"/>
        <v>0</v>
      </c>
      <c r="N33" s="15">
        <f>SUM(B33:M33)</f>
        <v>1523431.3669999999</v>
      </c>
    </row>
    <row r="34" spans="1:14">
      <c r="A34" s="1" t="s">
        <v>1</v>
      </c>
      <c r="B34" s="40">
        <v>148072.39490000001</v>
      </c>
      <c r="C34" s="40">
        <v>116328.35059999998</v>
      </c>
      <c r="D34" s="40">
        <v>133541.6501</v>
      </c>
      <c r="E34" s="44">
        <v>103822.24020000001</v>
      </c>
      <c r="F34" s="40">
        <v>205432.46899999998</v>
      </c>
      <c r="G34" s="40">
        <v>125653.27409999994</v>
      </c>
      <c r="H34" s="40">
        <v>142713.14169999998</v>
      </c>
      <c r="I34" s="40">
        <v>122856.33039999995</v>
      </c>
      <c r="J34" s="40">
        <f>[1]Mensal!$J$8</f>
        <v>0</v>
      </c>
      <c r="K34" s="40">
        <f>[1]Mensal!$K$8</f>
        <v>0</v>
      </c>
      <c r="L34" s="40">
        <f>[1]Mensal!$L$8</f>
        <v>0</v>
      </c>
      <c r="M34" s="139">
        <f>[1]Mensal!$M$8</f>
        <v>0</v>
      </c>
      <c r="N34" s="15">
        <f>SUM(B34:M34)</f>
        <v>1098419.8509999996</v>
      </c>
    </row>
    <row r="35" spans="1:14">
      <c r="A35" s="1" t="s">
        <v>17</v>
      </c>
      <c r="B35" s="40">
        <v>65622.38499999998</v>
      </c>
      <c r="C35" s="40">
        <v>43202.742000000027</v>
      </c>
      <c r="D35" s="40">
        <v>52132.535999999993</v>
      </c>
      <c r="E35" s="40">
        <v>35893.608999999997</v>
      </c>
      <c r="F35" s="40">
        <v>46263.953000000023</v>
      </c>
      <c r="G35" s="40">
        <v>69790.646999999997</v>
      </c>
      <c r="H35" s="40">
        <v>51257.440000000053</v>
      </c>
      <c r="I35" s="40">
        <v>60848.203999999998</v>
      </c>
      <c r="J35" s="40">
        <f>[1]Mensal!$J$12</f>
        <v>0</v>
      </c>
      <c r="K35" s="40">
        <f>[1]Mensal!$K$12</f>
        <v>0</v>
      </c>
      <c r="L35" s="126">
        <f>[1]Mensal!$L$12</f>
        <v>0</v>
      </c>
      <c r="M35" s="139">
        <f>[1]Mensal!$M$12</f>
        <v>0</v>
      </c>
      <c r="N35" s="15">
        <f>SUM(B35:M35)</f>
        <v>425011.51600000006</v>
      </c>
    </row>
    <row r="36" spans="1:14">
      <c r="A36" s="112" t="s">
        <v>68</v>
      </c>
      <c r="B36" s="31">
        <f t="shared" ref="B36:M36" si="3">B35/B33</f>
        <v>0.30708464208020636</v>
      </c>
      <c r="C36" s="31">
        <f t="shared" si="3"/>
        <v>0.27081079491083498</v>
      </c>
      <c r="D36" s="31">
        <f t="shared" si="3"/>
        <v>0.28077428044802399</v>
      </c>
      <c r="E36" s="31">
        <f>E35/E33</f>
        <v>0.25690434696939163</v>
      </c>
      <c r="F36" s="31">
        <f>F35/F33</f>
        <v>0.18380854456484891</v>
      </c>
      <c r="G36" s="31">
        <f>G35/G33</f>
        <v>0.35708783679330319</v>
      </c>
      <c r="H36" s="31">
        <f t="shared" si="3"/>
        <v>0.26425367986613635</v>
      </c>
      <c r="I36" s="31">
        <f t="shared" si="3"/>
        <v>0.3312286449473727</v>
      </c>
      <c r="J36" s="31" t="e">
        <f t="shared" si="3"/>
        <v>#DIV/0!</v>
      </c>
      <c r="K36" s="31" t="e">
        <f t="shared" si="3"/>
        <v>#DIV/0!</v>
      </c>
      <c r="L36" s="31" t="e">
        <f t="shared" si="3"/>
        <v>#DIV/0!</v>
      </c>
      <c r="M36" s="31" t="e">
        <f t="shared" si="3"/>
        <v>#DIV/0!</v>
      </c>
      <c r="N36" s="33">
        <f>N35/N33</f>
        <v>0.2789830413147848</v>
      </c>
    </row>
    <row r="37" spans="1:14">
      <c r="A37" s="27"/>
      <c r="B37" s="35"/>
      <c r="C37" s="35"/>
      <c r="D37" s="35"/>
      <c r="E37" s="43"/>
      <c r="F37" s="35"/>
      <c r="G37" s="35"/>
      <c r="H37" s="35"/>
      <c r="I37" s="35"/>
      <c r="J37" s="35"/>
      <c r="K37" s="35"/>
      <c r="L37" s="35"/>
      <c r="M37" s="35"/>
    </row>
    <row r="56" spans="1:14">
      <c r="A56" s="148" t="s">
        <v>33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</row>
    <row r="57" spans="1:14">
      <c r="A57" s="148" t="s">
        <v>34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</row>
    <row r="58" spans="1:14">
      <c r="A58" s="148" t="s">
        <v>35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</row>
    <row r="59" spans="1:14">
      <c r="A59" s="162">
        <v>2017</v>
      </c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</row>
    <row r="60" spans="1:14">
      <c r="A60" s="16" t="s">
        <v>16</v>
      </c>
      <c r="B60" s="141" t="s">
        <v>92</v>
      </c>
      <c r="C60" s="141" t="s">
        <v>94</v>
      </c>
      <c r="D60" s="141" t="s">
        <v>95</v>
      </c>
      <c r="E60" s="141" t="s">
        <v>96</v>
      </c>
      <c r="F60" s="141" t="s">
        <v>101</v>
      </c>
      <c r="G60" s="141" t="s">
        <v>102</v>
      </c>
      <c r="H60" s="141" t="s">
        <v>103</v>
      </c>
      <c r="I60" s="141" t="s">
        <v>104</v>
      </c>
      <c r="J60" s="141" t="s">
        <v>105</v>
      </c>
      <c r="K60" s="141" t="s">
        <v>106</v>
      </c>
      <c r="L60" s="141" t="s">
        <v>107</v>
      </c>
      <c r="M60" s="141" t="s">
        <v>108</v>
      </c>
      <c r="N60" s="141" t="s">
        <v>109</v>
      </c>
    </row>
    <row r="61" spans="1:14">
      <c r="A61" s="16" t="s">
        <v>1</v>
      </c>
      <c r="B61" s="139">
        <v>120768.85079999996</v>
      </c>
      <c r="C61" s="40">
        <v>148072.39490000001</v>
      </c>
      <c r="D61" s="139">
        <v>116328.35059999998</v>
      </c>
      <c r="E61" s="139">
        <v>133541.6501</v>
      </c>
      <c r="F61" s="44">
        <v>103822.24020000001</v>
      </c>
      <c r="G61" s="139">
        <v>205432.46899999998</v>
      </c>
      <c r="H61" s="139">
        <v>125653.27409999994</v>
      </c>
      <c r="I61" s="139">
        <v>142713.14169999998</v>
      </c>
      <c r="J61" s="40">
        <f>[1]Mensal!$I$8</f>
        <v>0</v>
      </c>
      <c r="K61" s="40">
        <v>150206.14889999988</v>
      </c>
      <c r="L61" s="139">
        <v>150771.55590000001</v>
      </c>
      <c r="M61" s="40">
        <v>108047.00550000003</v>
      </c>
      <c r="N61" s="40">
        <v>111013.58696999999</v>
      </c>
    </row>
    <row r="62" spans="1:14">
      <c r="A62" s="16" t="s">
        <v>17</v>
      </c>
      <c r="B62" s="139">
        <v>97119.922999999952</v>
      </c>
      <c r="C62" s="127">
        <v>65622.38499999998</v>
      </c>
      <c r="D62" s="139">
        <v>43202.742000000027</v>
      </c>
      <c r="E62" s="139">
        <v>52132.535999999993</v>
      </c>
      <c r="F62" s="40">
        <v>35893.608999999997</v>
      </c>
      <c r="G62" s="139">
        <v>46263.953000000023</v>
      </c>
      <c r="H62" s="139">
        <v>69790.646999999997</v>
      </c>
      <c r="I62" s="139">
        <v>51257.440000000053</v>
      </c>
      <c r="J62" s="40">
        <f>[1]Mensal!$I$12</f>
        <v>0</v>
      </c>
      <c r="K62" s="40">
        <v>64792.858000000015</v>
      </c>
      <c r="L62" s="139">
        <v>70389.875999999989</v>
      </c>
      <c r="M62" s="40">
        <v>95640.385000000009</v>
      </c>
      <c r="N62" s="40">
        <v>51327.400999999969</v>
      </c>
    </row>
    <row r="81" spans="1:14">
      <c r="A81" s="148" t="s">
        <v>98</v>
      </c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>
      <c r="A82" s="150" t="s">
        <v>25</v>
      </c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s="96" customFormat="1">
      <c r="A83" s="93"/>
      <c r="B83" s="93" t="s">
        <v>2</v>
      </c>
      <c r="C83" s="93" t="s">
        <v>4</v>
      </c>
      <c r="D83" s="93" t="s">
        <v>3</v>
      </c>
      <c r="E83" s="93" t="s">
        <v>5</v>
      </c>
      <c r="F83" s="93" t="s">
        <v>6</v>
      </c>
      <c r="G83" s="93" t="s">
        <v>7</v>
      </c>
      <c r="H83" s="93" t="s">
        <v>8</v>
      </c>
      <c r="I83" s="93" t="s">
        <v>9</v>
      </c>
      <c r="J83" s="93" t="s">
        <v>10</v>
      </c>
      <c r="K83" s="93" t="s">
        <v>11</v>
      </c>
      <c r="L83" s="93" t="s">
        <v>12</v>
      </c>
      <c r="M83" s="93" t="s">
        <v>13</v>
      </c>
      <c r="N83" s="94" t="s">
        <v>36</v>
      </c>
    </row>
    <row r="84" spans="1:14">
      <c r="A84" s="75" t="s">
        <v>52</v>
      </c>
      <c r="B84" s="15">
        <f>B85+B86</f>
        <v>2506380.5089999996</v>
      </c>
      <c r="C84" s="15">
        <f t="shared" ref="C84:L84" si="4">C85+C86</f>
        <v>1259521.8640000001</v>
      </c>
      <c r="D84" s="15">
        <f t="shared" si="4"/>
        <v>1767685.5690000001</v>
      </c>
      <c r="E84" s="15">
        <f t="shared" si="4"/>
        <v>324351.11200000008</v>
      </c>
      <c r="F84" s="15">
        <f t="shared" si="4"/>
        <v>271195.57299999997</v>
      </c>
      <c r="G84" s="15">
        <f t="shared" si="4"/>
        <v>423719.98700000002</v>
      </c>
      <c r="H84" s="15">
        <f t="shared" si="4"/>
        <v>391747.076</v>
      </c>
      <c r="I84" s="15">
        <f t="shared" si="4"/>
        <v>0</v>
      </c>
      <c r="J84" s="15">
        <f t="shared" si="4"/>
        <v>0</v>
      </c>
      <c r="K84" s="15">
        <f t="shared" si="4"/>
        <v>0</v>
      </c>
      <c r="L84" s="15">
        <f t="shared" si="4"/>
        <v>0</v>
      </c>
      <c r="M84" s="15">
        <f>M85+M86</f>
        <v>0</v>
      </c>
      <c r="N84" s="15">
        <f>N85+N86</f>
        <v>6944601.6900000004</v>
      </c>
    </row>
    <row r="85" spans="1:14">
      <c r="A85" s="21" t="s">
        <v>26</v>
      </c>
      <c r="B85" s="40">
        <v>1569935.1739999996</v>
      </c>
      <c r="C85" s="40">
        <v>654859.39099999983</v>
      </c>
      <c r="D85" s="40">
        <v>904247.72900000017</v>
      </c>
      <c r="E85" s="40">
        <f>[1]Mensal!$E$14</f>
        <v>298272.10400000005</v>
      </c>
      <c r="F85" s="40">
        <f>[1]Mensal!$F$14</f>
        <v>242883.08600000001</v>
      </c>
      <c r="G85" s="40">
        <f>[1]Mensal!$G$14</f>
        <v>400102.01699999999</v>
      </c>
      <c r="H85" s="40">
        <f>[1]Mensal!$H$14</f>
        <v>376128.65700000001</v>
      </c>
      <c r="I85" s="40">
        <f>[1]Mensal!$I$14</f>
        <v>0</v>
      </c>
      <c r="J85" s="40">
        <f>[1]Mensal!$J$14</f>
        <v>0</v>
      </c>
      <c r="K85" s="40">
        <f>[1]Mensal!$K$14</f>
        <v>0</v>
      </c>
      <c r="L85" s="139">
        <f>[1]Mensal!$L$14</f>
        <v>0</v>
      </c>
      <c r="M85" s="139">
        <f>[1]Mensal!$M$14</f>
        <v>0</v>
      </c>
      <c r="N85" s="15">
        <f>SUM(B85:M85)</f>
        <v>4446428.1579999998</v>
      </c>
    </row>
    <row r="86" spans="1:14">
      <c r="A86" s="23" t="s">
        <v>27</v>
      </c>
      <c r="B86" s="40">
        <v>936445.33499999996</v>
      </c>
      <c r="C86" s="40">
        <v>604662.47300000011</v>
      </c>
      <c r="D86" s="40">
        <v>863437.83999999985</v>
      </c>
      <c r="E86" s="40">
        <f>[1]Mensal!$E$26</f>
        <v>26079.008000000023</v>
      </c>
      <c r="F86" s="40">
        <f>[1]Mensal!$F$26</f>
        <v>28312.486999999994</v>
      </c>
      <c r="G86" s="40">
        <f>[1]Mensal!$G$26</f>
        <v>23617.970000000008</v>
      </c>
      <c r="H86" s="40">
        <f>[1]Mensal!$H$26</f>
        <v>15618.419000000018</v>
      </c>
      <c r="I86" s="40">
        <f>[1]Mensal!$I$26</f>
        <v>0</v>
      </c>
      <c r="J86" s="40">
        <f>[1]Mensal!$J$26</f>
        <v>0</v>
      </c>
      <c r="K86" s="40">
        <f>[1]Mensal!$K$26</f>
        <v>0</v>
      </c>
      <c r="L86" s="139">
        <f>[1]Mensal!$L$26</f>
        <v>0</v>
      </c>
      <c r="M86" s="139">
        <f>[1]Mensal!$M$26</f>
        <v>0</v>
      </c>
      <c r="N86" s="15">
        <f>SUM(B86:M86)</f>
        <v>2498173.5320000006</v>
      </c>
    </row>
    <row r="104" spans="1:16">
      <c r="P104" s="142"/>
    </row>
    <row r="105" spans="1:16">
      <c r="A105" s="155" t="s">
        <v>97</v>
      </c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</row>
    <row r="106" spans="1:16">
      <c r="A106" s="154" t="s">
        <v>25</v>
      </c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</row>
    <row r="107" spans="1:16" s="96" customFormat="1">
      <c r="A107" s="93"/>
      <c r="B107" s="93" t="s">
        <v>2</v>
      </c>
      <c r="C107" s="93" t="s">
        <v>4</v>
      </c>
      <c r="D107" s="93" t="s">
        <v>3</v>
      </c>
      <c r="E107" s="93" t="s">
        <v>5</v>
      </c>
      <c r="F107" s="93" t="s">
        <v>6</v>
      </c>
      <c r="G107" s="93" t="s">
        <v>7</v>
      </c>
      <c r="H107" s="93" t="s">
        <v>8</v>
      </c>
      <c r="I107" s="93" t="s">
        <v>9</v>
      </c>
      <c r="J107" s="93" t="s">
        <v>10</v>
      </c>
      <c r="K107" s="93" t="s">
        <v>11</v>
      </c>
      <c r="L107" s="93" t="s">
        <v>12</v>
      </c>
      <c r="M107" s="93" t="s">
        <v>13</v>
      </c>
      <c r="N107" s="94" t="s">
        <v>36</v>
      </c>
    </row>
    <row r="108" spans="1:16">
      <c r="A108" s="19" t="s">
        <v>28</v>
      </c>
      <c r="B108" s="24">
        <f>48611934892/1000</f>
        <v>48611934.891999997</v>
      </c>
      <c r="C108" s="55">
        <f>45387937774/1000</f>
        <v>45387937.773999996</v>
      </c>
      <c r="D108" s="81">
        <f>60229547667/1000</f>
        <v>60229547.667000003</v>
      </c>
      <c r="E108" s="133">
        <f>46947145886/1000</f>
        <v>46947145.886</v>
      </c>
      <c r="F108" s="46">
        <f>61667244844/1000</f>
        <v>61667244.843999997</v>
      </c>
      <c r="G108" s="81">
        <f>61575366749/1000</f>
        <v>61575366.748999998</v>
      </c>
      <c r="H108" s="81">
        <f>57251680401/1000</f>
        <v>57251680.401000001</v>
      </c>
      <c r="I108" s="48">
        <f>61583978797/1000</f>
        <v>61583978.796999998</v>
      </c>
      <c r="J108" s="24">
        <f>58356972746/1000</f>
        <v>58356972.745999999</v>
      </c>
      <c r="K108" s="55">
        <f>58949118580/1000</f>
        <v>58949118.579999998</v>
      </c>
      <c r="L108" s="81">
        <f>53085185823/1000</f>
        <v>53085185.822999999</v>
      </c>
      <c r="M108" s="99">
        <f>53083150045/1000</f>
        <v>53083150.045000002</v>
      </c>
      <c r="N108" s="100">
        <f>SUM(B108:M108)</f>
        <v>666729264.204</v>
      </c>
      <c r="O108" s="82"/>
    </row>
    <row r="109" spans="1:16">
      <c r="A109" s="18" t="s">
        <v>29</v>
      </c>
      <c r="B109" s="40">
        <f>B86</f>
        <v>936445.33499999996</v>
      </c>
      <c r="C109" s="40">
        <f t="shared" ref="C109:M109" si="5">C86</f>
        <v>604662.47300000011</v>
      </c>
      <c r="D109" s="40">
        <f t="shared" si="5"/>
        <v>863437.83999999985</v>
      </c>
      <c r="E109" s="40">
        <f t="shared" si="5"/>
        <v>26079.008000000023</v>
      </c>
      <c r="F109" s="40">
        <f t="shared" si="5"/>
        <v>28312.486999999994</v>
      </c>
      <c r="G109" s="40">
        <f t="shared" si="5"/>
        <v>23617.970000000008</v>
      </c>
      <c r="H109" s="40">
        <f t="shared" si="5"/>
        <v>15618.419000000018</v>
      </c>
      <c r="I109" s="40">
        <f t="shared" si="5"/>
        <v>0</v>
      </c>
      <c r="J109" s="40">
        <f t="shared" si="5"/>
        <v>0</v>
      </c>
      <c r="K109" s="40">
        <f t="shared" si="5"/>
        <v>0</v>
      </c>
      <c r="L109" s="40">
        <f t="shared" si="5"/>
        <v>0</v>
      </c>
      <c r="M109" s="40">
        <f t="shared" si="5"/>
        <v>0</v>
      </c>
      <c r="N109" s="15">
        <f>SUM(B109:M109)</f>
        <v>2498173.5320000006</v>
      </c>
    </row>
    <row r="110" spans="1:16">
      <c r="A110" s="115" t="s">
        <v>39</v>
      </c>
      <c r="B110" s="51">
        <f t="shared" ref="B110:N110" si="6">B109/B108</f>
        <v>1.9263691870740771E-2</v>
      </c>
      <c r="C110" s="51">
        <f t="shared" si="6"/>
        <v>1.332209619240235E-2</v>
      </c>
      <c r="D110" s="51">
        <f t="shared" ref="D110:I110" si="7">D109/D108</f>
        <v>1.4335784900358478E-2</v>
      </c>
      <c r="E110" s="51">
        <f t="shared" si="7"/>
        <v>5.5549719813269803E-4</v>
      </c>
      <c r="F110" s="51">
        <f t="shared" si="7"/>
        <v>4.5911710619831104E-4</v>
      </c>
      <c r="G110" s="51">
        <f t="shared" si="7"/>
        <v>3.8356198666707203E-4</v>
      </c>
      <c r="H110" s="51">
        <f t="shared" si="7"/>
        <v>2.7280280492390953E-4</v>
      </c>
      <c r="I110" s="51">
        <f t="shared" si="7"/>
        <v>0</v>
      </c>
      <c r="J110" s="51">
        <f t="shared" si="6"/>
        <v>0</v>
      </c>
      <c r="K110" s="51">
        <f t="shared" si="6"/>
        <v>0</v>
      </c>
      <c r="L110" s="51">
        <f t="shared" si="6"/>
        <v>0</v>
      </c>
      <c r="M110" s="51">
        <f t="shared" si="6"/>
        <v>0</v>
      </c>
      <c r="N110" s="51">
        <f t="shared" si="6"/>
        <v>3.7469084771350777E-3</v>
      </c>
      <c r="O110" s="42"/>
    </row>
    <row r="116" spans="1:18">
      <c r="R116" s="55"/>
    </row>
    <row r="127" spans="1:18">
      <c r="A127" s="155" t="s">
        <v>99</v>
      </c>
      <c r="B127" s="155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</row>
    <row r="128" spans="1:18">
      <c r="A128" s="154" t="s">
        <v>25</v>
      </c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</row>
    <row r="129" spans="1:18" s="96" customFormat="1">
      <c r="A129" s="93"/>
      <c r="B129" s="93" t="s">
        <v>2</v>
      </c>
      <c r="C129" s="93" t="s">
        <v>4</v>
      </c>
      <c r="D129" s="93" t="s">
        <v>3</v>
      </c>
      <c r="E129" s="93" t="s">
        <v>5</v>
      </c>
      <c r="F129" s="93" t="s">
        <v>6</v>
      </c>
      <c r="G129" s="93" t="s">
        <v>7</v>
      </c>
      <c r="H129" s="93" t="s">
        <v>8</v>
      </c>
      <c r="I129" s="93" t="s">
        <v>9</v>
      </c>
      <c r="J129" s="93" t="s">
        <v>10</v>
      </c>
      <c r="K129" s="93" t="s">
        <v>11</v>
      </c>
      <c r="L129" s="93" t="s">
        <v>12</v>
      </c>
      <c r="M129" s="93" t="s">
        <v>13</v>
      </c>
      <c r="N129" s="94" t="s">
        <v>36</v>
      </c>
    </row>
    <row r="130" spans="1:18">
      <c r="A130" s="19" t="s">
        <v>28</v>
      </c>
      <c r="B130" s="40">
        <f>11721531599/1000</f>
        <v>11721531.598999999</v>
      </c>
      <c r="C130" s="134">
        <v>11114828.336999999</v>
      </c>
      <c r="D130" s="133">
        <f>12248799929/1000</f>
        <v>12248799.929</v>
      </c>
      <c r="E130" s="134">
        <f>9661285509/1000</f>
        <v>9661285.5089999996</v>
      </c>
      <c r="F130" s="134">
        <f>11566834596/1000</f>
        <v>11566834.596000001</v>
      </c>
      <c r="G130" s="55">
        <f>12058446444/1000</f>
        <v>12058446.444</v>
      </c>
      <c r="H130" s="134">
        <f>11845139228/1000</f>
        <v>11845139.228</v>
      </c>
      <c r="I130" s="48">
        <v>12192987.789000001</v>
      </c>
      <c r="J130" s="40">
        <f>11285850458/1000</f>
        <v>11285850.458000001</v>
      </c>
      <c r="K130" s="40">
        <f>10695169766/1000</f>
        <v>10695169.766000001</v>
      </c>
      <c r="L130" s="55">
        <f>10424292220/1000</f>
        <v>10424292.220000001</v>
      </c>
      <c r="M130" s="40">
        <f>11408413908/1000</f>
        <v>11408413.908</v>
      </c>
      <c r="N130" s="15">
        <f>SUM(B130:M130)</f>
        <v>136223579.78300002</v>
      </c>
    </row>
    <row r="131" spans="1:18" ht="15" customHeight="1">
      <c r="A131" s="18" t="s">
        <v>29</v>
      </c>
      <c r="B131" s="40">
        <f>B85</f>
        <v>1569935.1739999996</v>
      </c>
      <c r="C131" s="40">
        <f t="shared" ref="C131:M131" si="8">C85</f>
        <v>654859.39099999983</v>
      </c>
      <c r="D131" s="40">
        <f t="shared" si="8"/>
        <v>904247.72900000017</v>
      </c>
      <c r="E131" s="40">
        <f t="shared" si="8"/>
        <v>298272.10400000005</v>
      </c>
      <c r="F131" s="40">
        <f t="shared" si="8"/>
        <v>242883.08600000001</v>
      </c>
      <c r="G131" s="40">
        <f t="shared" si="8"/>
        <v>400102.01699999999</v>
      </c>
      <c r="H131" s="40">
        <f t="shared" si="8"/>
        <v>376128.65700000001</v>
      </c>
      <c r="I131" s="40">
        <f t="shared" si="8"/>
        <v>0</v>
      </c>
      <c r="J131" s="40">
        <f t="shared" si="8"/>
        <v>0</v>
      </c>
      <c r="K131" s="40">
        <f t="shared" si="8"/>
        <v>0</v>
      </c>
      <c r="L131" s="40">
        <f t="shared" si="8"/>
        <v>0</v>
      </c>
      <c r="M131" s="40">
        <f t="shared" si="8"/>
        <v>0</v>
      </c>
      <c r="N131" s="15">
        <f>SUM(B131:M131)</f>
        <v>4446428.1579999998</v>
      </c>
      <c r="P131" s="82"/>
      <c r="R131" s="82"/>
    </row>
    <row r="132" spans="1:18">
      <c r="A132" s="115" t="s">
        <v>39</v>
      </c>
      <c r="B132" s="51">
        <f t="shared" ref="B132:M132" si="9">B131/B130</f>
        <v>0.13393601004615607</v>
      </c>
      <c r="C132" s="51">
        <f t="shared" si="9"/>
        <v>5.8917634276010128E-2</v>
      </c>
      <c r="D132" s="51">
        <f t="shared" si="9"/>
        <v>7.3823373248110807E-2</v>
      </c>
      <c r="E132" s="51">
        <f>E131/E130</f>
        <v>3.0872920971245884E-2</v>
      </c>
      <c r="F132" s="51">
        <f>F131/F130</f>
        <v>2.0998232834071383E-2</v>
      </c>
      <c r="G132" s="51">
        <f>G131/G130</f>
        <v>3.3180229215935303E-2</v>
      </c>
      <c r="H132" s="51">
        <f>H131/H130</f>
        <v>3.1753840099312002E-2</v>
      </c>
      <c r="I132" s="51">
        <f>I131/H130</f>
        <v>0</v>
      </c>
      <c r="J132" s="51">
        <f t="shared" si="9"/>
        <v>0</v>
      </c>
      <c r="K132" s="51">
        <f t="shared" si="9"/>
        <v>0</v>
      </c>
      <c r="L132" s="51">
        <f t="shared" si="9"/>
        <v>0</v>
      </c>
      <c r="M132" s="51">
        <f t="shared" si="9"/>
        <v>0</v>
      </c>
      <c r="N132" s="51">
        <f>N131/N130</f>
        <v>3.2640664450919753E-2</v>
      </c>
      <c r="O132" s="42"/>
    </row>
    <row r="150" spans="1:15">
      <c r="A150" t="s">
        <v>21</v>
      </c>
    </row>
    <row r="153" spans="1:15">
      <c r="A153" s="152" t="s">
        <v>100</v>
      </c>
      <c r="B153" s="152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</row>
    <row r="154" spans="1:15">
      <c r="A154" s="103"/>
      <c r="B154" s="93" t="s">
        <v>2</v>
      </c>
      <c r="C154" s="93" t="s">
        <v>4</v>
      </c>
      <c r="D154" s="93" t="s">
        <v>3</v>
      </c>
      <c r="E154" s="93" t="s">
        <v>5</v>
      </c>
      <c r="F154" s="93" t="s">
        <v>6</v>
      </c>
      <c r="G154" s="93" t="s">
        <v>7</v>
      </c>
      <c r="H154" s="93" t="s">
        <v>8</v>
      </c>
      <c r="I154" s="93" t="s">
        <v>9</v>
      </c>
      <c r="J154" s="93" t="s">
        <v>10</v>
      </c>
      <c r="K154" s="93" t="s">
        <v>11</v>
      </c>
      <c r="L154" s="93" t="s">
        <v>12</v>
      </c>
      <c r="M154" s="93" t="s">
        <v>13</v>
      </c>
      <c r="N154" s="94" t="s">
        <v>36</v>
      </c>
    </row>
    <row r="155" spans="1:15">
      <c r="A155" s="19" t="s">
        <v>28</v>
      </c>
      <c r="B155" s="102">
        <f>B108+B130</f>
        <v>60333466.490999997</v>
      </c>
      <c r="C155" s="102">
        <f t="shared" ref="C155:N155" si="10">C108+C130</f>
        <v>56502766.110999994</v>
      </c>
      <c r="D155" s="102">
        <f>D108+D130</f>
        <v>72478347.596000001</v>
      </c>
      <c r="E155" s="102">
        <f>E108+E130</f>
        <v>56608431.394999996</v>
      </c>
      <c r="F155" s="102">
        <f t="shared" si="10"/>
        <v>73234079.439999998</v>
      </c>
      <c r="G155" s="102">
        <f t="shared" si="10"/>
        <v>73633813.193000004</v>
      </c>
      <c r="H155" s="102">
        <f>H130+H108</f>
        <v>69096819.629000008</v>
      </c>
      <c r="I155" s="102">
        <f>I130+I108</f>
        <v>73776966.585999995</v>
      </c>
      <c r="J155" s="102">
        <f t="shared" si="10"/>
        <v>69642823.203999996</v>
      </c>
      <c r="K155" s="102">
        <f t="shared" si="10"/>
        <v>69644288.346000001</v>
      </c>
      <c r="L155" s="102">
        <f t="shared" si="10"/>
        <v>63509478.042999998</v>
      </c>
      <c r="M155" s="102">
        <f>M108+M130</f>
        <v>64491563.953000002</v>
      </c>
      <c r="N155" s="105">
        <f t="shared" si="10"/>
        <v>802952843.98699999</v>
      </c>
    </row>
    <row r="156" spans="1:15">
      <c r="A156" s="18" t="s">
        <v>29</v>
      </c>
      <c r="B156" s="117">
        <f>B86+B85</f>
        <v>2506380.5089999996</v>
      </c>
      <c r="C156" s="117">
        <f t="shared" ref="C156:L156" si="11">C86+C85</f>
        <v>1259521.8640000001</v>
      </c>
      <c r="D156" s="117">
        <f t="shared" si="11"/>
        <v>1767685.5690000001</v>
      </c>
      <c r="E156" s="15">
        <f t="shared" si="11"/>
        <v>324351.11200000008</v>
      </c>
      <c r="F156" s="15">
        <f t="shared" si="11"/>
        <v>271195.57299999997</v>
      </c>
      <c r="G156" s="15">
        <f t="shared" si="11"/>
        <v>423719.98700000002</v>
      </c>
      <c r="H156" s="15">
        <f t="shared" si="11"/>
        <v>391747.076</v>
      </c>
      <c r="I156" s="15">
        <f t="shared" si="11"/>
        <v>0</v>
      </c>
      <c r="J156" s="15">
        <f t="shared" si="11"/>
        <v>0</v>
      </c>
      <c r="K156" s="15">
        <f t="shared" si="11"/>
        <v>0</v>
      </c>
      <c r="L156" s="15">
        <f t="shared" si="11"/>
        <v>0</v>
      </c>
      <c r="M156" s="144">
        <f>M131+M109</f>
        <v>0</v>
      </c>
      <c r="N156" s="15">
        <f>N131+N109</f>
        <v>6944601.6900000004</v>
      </c>
      <c r="O156" s="143"/>
    </row>
    <row r="157" spans="1:15">
      <c r="A157" s="115" t="s">
        <v>39</v>
      </c>
      <c r="B157" s="119">
        <f>B156/B155</f>
        <v>4.1542126696364756E-2</v>
      </c>
      <c r="C157" s="119">
        <f t="shared" ref="C157:M157" si="12">C156/C155</f>
        <v>2.2291331039009002E-2</v>
      </c>
      <c r="D157" s="119">
        <f t="shared" si="12"/>
        <v>2.4389153831889467E-2</v>
      </c>
      <c r="E157" s="119">
        <f>E156/E155</f>
        <v>5.7297314906459102E-3</v>
      </c>
      <c r="F157" s="119">
        <f>F156/F155</f>
        <v>3.7031335011480275E-3</v>
      </c>
      <c r="G157" s="119">
        <f>G156/G155</f>
        <v>5.7544213538065275E-3</v>
      </c>
      <c r="H157" s="119">
        <f t="shared" si="12"/>
        <v>5.6695384549303243E-3</v>
      </c>
      <c r="I157" s="119">
        <f t="shared" si="12"/>
        <v>0</v>
      </c>
      <c r="J157" s="119">
        <f t="shared" si="12"/>
        <v>0</v>
      </c>
      <c r="K157" s="119">
        <f t="shared" si="12"/>
        <v>0</v>
      </c>
      <c r="L157" s="119">
        <f t="shared" si="12"/>
        <v>0</v>
      </c>
      <c r="M157" s="119">
        <f t="shared" si="12"/>
        <v>0</v>
      </c>
      <c r="N157" s="104">
        <f>N156/N155</f>
        <v>8.6488288098179218E-3</v>
      </c>
    </row>
    <row r="158" spans="1:15" ht="15" customHeight="1">
      <c r="A158" s="68"/>
      <c r="B158" s="70"/>
      <c r="C158" s="70"/>
      <c r="D158" s="70"/>
      <c r="E158" s="70"/>
      <c r="F158" s="70"/>
      <c r="G158" s="70"/>
      <c r="H158" s="70"/>
      <c r="I158" s="70"/>
      <c r="J158" s="86"/>
      <c r="K158" s="88"/>
      <c r="L158" s="70"/>
      <c r="M158" s="70"/>
      <c r="N158" s="72"/>
    </row>
    <row r="159" spans="1:15">
      <c r="A159" s="68"/>
      <c r="B159" s="73"/>
      <c r="C159" s="73"/>
      <c r="D159" s="73"/>
      <c r="E159" s="73"/>
      <c r="F159" s="73"/>
      <c r="G159" s="73"/>
      <c r="H159" s="73"/>
      <c r="I159" s="73"/>
      <c r="J159" s="89"/>
      <c r="K159" s="88"/>
      <c r="L159" s="73"/>
      <c r="M159" s="73"/>
      <c r="N159" s="74"/>
      <c r="O159" s="42"/>
    </row>
    <row r="160" spans="1:15">
      <c r="K160" s="87"/>
    </row>
    <row r="161" spans="1:14">
      <c r="B161" s="48"/>
      <c r="C161" s="48"/>
      <c r="D161" s="48"/>
      <c r="E161" s="48"/>
    </row>
    <row r="162" spans="1:14">
      <c r="B162" s="55"/>
      <c r="C162" s="55"/>
      <c r="D162" s="55"/>
      <c r="E162" s="55"/>
    </row>
    <row r="163" spans="1:14">
      <c r="B163" s="55"/>
      <c r="C163" s="55"/>
      <c r="D163" s="55"/>
      <c r="E163" s="55"/>
    </row>
    <row r="164" spans="1:14">
      <c r="B164" s="55"/>
      <c r="C164" s="55"/>
      <c r="D164" s="55"/>
      <c r="E164" s="55"/>
    </row>
    <row r="165" spans="1:14">
      <c r="B165" s="55"/>
      <c r="C165" s="55"/>
      <c r="D165" s="55"/>
      <c r="E165" s="55"/>
    </row>
    <row r="166" spans="1:14">
      <c r="B166" s="55"/>
      <c r="C166" s="55"/>
      <c r="D166" s="55"/>
      <c r="E166" s="55"/>
    </row>
    <row r="167" spans="1:14">
      <c r="B167" s="55"/>
      <c r="C167" s="55"/>
      <c r="D167" s="55"/>
      <c r="E167" s="55"/>
    </row>
    <row r="168" spans="1:14">
      <c r="B168" s="55"/>
      <c r="C168" s="55"/>
      <c r="D168" s="55"/>
      <c r="E168" s="55"/>
    </row>
    <row r="169" spans="1:14">
      <c r="B169" s="55"/>
      <c r="C169" s="55"/>
      <c r="D169" s="55"/>
      <c r="E169" s="55"/>
    </row>
    <row r="170" spans="1:14">
      <c r="B170" s="55"/>
      <c r="C170" s="55"/>
      <c r="D170" s="55"/>
      <c r="E170" s="55"/>
    </row>
    <row r="171" spans="1:14">
      <c r="B171" s="55"/>
      <c r="C171" s="55"/>
      <c r="D171" s="55"/>
      <c r="E171" s="55"/>
    </row>
    <row r="176" spans="1:14">
      <c r="A176" s="161"/>
      <c r="B176" s="161"/>
      <c r="C176" s="161"/>
      <c r="D176" s="161"/>
      <c r="E176" s="161"/>
      <c r="F176" s="161"/>
      <c r="G176" s="161"/>
      <c r="H176" s="161"/>
      <c r="I176" s="161"/>
      <c r="J176" s="161"/>
      <c r="K176" s="161"/>
      <c r="L176" s="161"/>
      <c r="M176" s="161"/>
      <c r="N176" s="161"/>
    </row>
    <row r="177" spans="1:15">
      <c r="A177" s="161"/>
      <c r="B177" s="161"/>
      <c r="C177" s="161"/>
      <c r="D177" s="161"/>
      <c r="E177" s="161"/>
      <c r="F177" s="161"/>
      <c r="G177" s="161"/>
      <c r="H177" s="161"/>
      <c r="I177" s="161"/>
      <c r="J177" s="161"/>
      <c r="K177" s="161"/>
      <c r="L177" s="161"/>
      <c r="M177" s="161"/>
      <c r="N177" s="161"/>
    </row>
    <row r="178" spans="1:15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9"/>
    </row>
    <row r="179" spans="1:15">
      <c r="A179" s="68"/>
      <c r="B179" s="70"/>
      <c r="C179" s="70"/>
      <c r="D179" s="71"/>
      <c r="E179" s="71"/>
      <c r="F179" s="70"/>
      <c r="G179" s="70"/>
      <c r="H179" s="70"/>
      <c r="I179" s="70"/>
      <c r="J179" s="70"/>
      <c r="K179" s="70"/>
      <c r="L179" s="70"/>
      <c r="M179" s="70"/>
      <c r="N179" s="72"/>
    </row>
    <row r="180" spans="1:15" ht="15" customHeight="1">
      <c r="A180" s="68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2"/>
    </row>
    <row r="181" spans="1:15">
      <c r="A181" s="68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4"/>
      <c r="O181" s="42"/>
    </row>
    <row r="183" spans="1:15">
      <c r="A183" t="s">
        <v>21</v>
      </c>
    </row>
    <row r="184" spans="1:15">
      <c r="B184" s="55"/>
      <c r="C184" s="55"/>
      <c r="D184" s="55"/>
      <c r="E184" s="55"/>
    </row>
    <row r="185" spans="1:15">
      <c r="A185" s="68"/>
      <c r="B185" s="70"/>
      <c r="C185" s="70"/>
      <c r="D185" s="70"/>
      <c r="E185" s="70"/>
    </row>
    <row r="186" spans="1:15">
      <c r="B186" s="55"/>
      <c r="C186" s="55"/>
      <c r="D186" s="55"/>
      <c r="E186" s="55"/>
    </row>
    <row r="187" spans="1:15">
      <c r="B187" s="55"/>
      <c r="C187" s="55"/>
      <c r="D187" s="55"/>
      <c r="E187" s="55"/>
    </row>
  </sheetData>
  <mergeCells count="21">
    <mergeCell ref="A153:N153"/>
    <mergeCell ref="A176:N176"/>
    <mergeCell ref="A177:N177"/>
    <mergeCell ref="A81:N81"/>
    <mergeCell ref="A82:N82"/>
    <mergeCell ref="A105:N105"/>
    <mergeCell ref="A106:N106"/>
    <mergeCell ref="A127:N127"/>
    <mergeCell ref="A128:N128"/>
    <mergeCell ref="A59:N59"/>
    <mergeCell ref="A1:N1"/>
    <mergeCell ref="A2:N2"/>
    <mergeCell ref="A3:N3"/>
    <mergeCell ref="A4:N4"/>
    <mergeCell ref="A28:N28"/>
    <mergeCell ref="A29:N29"/>
    <mergeCell ref="A30:N30"/>
    <mergeCell ref="A31:N31"/>
    <mergeCell ref="A56:N56"/>
    <mergeCell ref="A57:N57"/>
    <mergeCell ref="A58:N5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87"/>
  <sheetViews>
    <sheetView topLeftCell="A148" workbookViewId="0">
      <selection activeCell="P174" sqref="P174"/>
    </sheetView>
  </sheetViews>
  <sheetFormatPr defaultRowHeight="15"/>
  <cols>
    <col min="1" max="1" width="33.28515625" bestFit="1" customWidth="1"/>
    <col min="2" max="2" width="15.42578125" bestFit="1" customWidth="1"/>
    <col min="3" max="3" width="14.42578125" bestFit="1" customWidth="1"/>
    <col min="4" max="4" width="14.28515625" bestFit="1" customWidth="1"/>
    <col min="5" max="5" width="12.140625" customWidth="1"/>
    <col min="6" max="7" width="14.28515625" bestFit="1" customWidth="1"/>
    <col min="8" max="8" width="12.140625" bestFit="1" customWidth="1"/>
    <col min="9" max="9" width="15.140625" bestFit="1" customWidth="1"/>
    <col min="10" max="10" width="15.28515625" bestFit="1" customWidth="1"/>
    <col min="11" max="11" width="12.140625" customWidth="1"/>
    <col min="12" max="12" width="13.5703125" customWidth="1"/>
    <col min="13" max="13" width="11.7109375" customWidth="1"/>
    <col min="14" max="14" width="15.28515625" bestFit="1" customWidth="1"/>
    <col min="15" max="15" width="12.5703125" bestFit="1" customWidth="1"/>
    <col min="16" max="16" width="10.5703125" bestFit="1" customWidth="1"/>
    <col min="18" max="18" width="11.5703125" bestFit="1" customWidth="1"/>
  </cols>
  <sheetData>
    <row r="1" spans="1:14">
      <c r="A1" s="156" t="s">
        <v>54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>
      <c r="A2" s="156" t="s">
        <v>46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>
      <c r="A3" s="148" t="s">
        <v>25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>
      <c r="A4" s="160">
        <v>2018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14">
      <c r="A5" s="1" t="s">
        <v>16</v>
      </c>
      <c r="B5" s="93" t="s">
        <v>2</v>
      </c>
      <c r="C5" s="93" t="s">
        <v>4</v>
      </c>
      <c r="D5" s="93" t="s">
        <v>3</v>
      </c>
      <c r="E5" s="93" t="s">
        <v>5</v>
      </c>
      <c r="F5" s="93" t="s">
        <v>6</v>
      </c>
      <c r="G5" s="93" t="s">
        <v>7</v>
      </c>
      <c r="H5" s="93" t="s">
        <v>8</v>
      </c>
      <c r="I5" s="93" t="s">
        <v>9</v>
      </c>
      <c r="J5" s="93" t="s">
        <v>10</v>
      </c>
      <c r="K5" s="93" t="s">
        <v>11</v>
      </c>
      <c r="L5" s="93" t="s">
        <v>12</v>
      </c>
      <c r="M5" s="93" t="s">
        <v>13</v>
      </c>
      <c r="N5" s="94" t="s">
        <v>36</v>
      </c>
    </row>
    <row r="6" spans="1:14">
      <c r="A6" s="16" t="s">
        <v>53</v>
      </c>
      <c r="B6" s="15">
        <f>B7+B8</f>
        <v>1471259.8549999997</v>
      </c>
      <c r="C6" s="15">
        <f t="shared" ref="C6:M6" si="0">C7+C8</f>
        <v>1075952.1739999996</v>
      </c>
      <c r="D6" s="15">
        <f t="shared" si="0"/>
        <v>1390431.702</v>
      </c>
      <c r="E6" s="15">
        <f>E7+E8</f>
        <v>1312065.3910000001</v>
      </c>
      <c r="F6" s="15">
        <f>F7+F8</f>
        <v>1154111.51</v>
      </c>
      <c r="G6" s="15">
        <f t="shared" si="0"/>
        <v>1319436.919</v>
      </c>
      <c r="H6" s="15">
        <f t="shared" si="0"/>
        <v>2687462.5869999998</v>
      </c>
      <c r="I6" s="15">
        <f t="shared" si="0"/>
        <v>0</v>
      </c>
      <c r="J6" s="15">
        <f t="shared" si="0"/>
        <v>0</v>
      </c>
      <c r="K6" s="15">
        <f t="shared" si="0"/>
        <v>0</v>
      </c>
      <c r="L6" s="15">
        <f t="shared" si="0"/>
        <v>0</v>
      </c>
      <c r="M6" s="15">
        <f t="shared" si="0"/>
        <v>0</v>
      </c>
      <c r="N6" s="15">
        <f>SUM(B6:M6)</f>
        <v>10410720.137999998</v>
      </c>
    </row>
    <row r="7" spans="1:14">
      <c r="A7" s="1" t="s">
        <v>1</v>
      </c>
      <c r="B7" s="3">
        <v>1099765.0219999996</v>
      </c>
      <c r="C7" s="3">
        <v>712361.67799999984</v>
      </c>
      <c r="D7" s="3">
        <v>971492.48300000012</v>
      </c>
      <c r="E7" s="121">
        <v>1013793.287</v>
      </c>
      <c r="F7" s="3">
        <v>911228.424</v>
      </c>
      <c r="G7" s="3">
        <v>919334.902</v>
      </c>
      <c r="H7" s="3">
        <v>2553548.3783999998</v>
      </c>
      <c r="I7" s="3"/>
      <c r="J7" s="3"/>
      <c r="K7" s="3"/>
      <c r="L7" s="3"/>
      <c r="M7" s="139"/>
      <c r="N7" s="15">
        <f>SUM(B7:M7)</f>
        <v>8181524.174399999</v>
      </c>
    </row>
    <row r="8" spans="1:14">
      <c r="A8" s="1" t="s">
        <v>17</v>
      </c>
      <c r="B8" s="3">
        <v>371494.83300000004</v>
      </c>
      <c r="C8" s="3">
        <v>363590.49599999993</v>
      </c>
      <c r="D8" s="3">
        <v>418939.21900000004</v>
      </c>
      <c r="E8" s="122">
        <v>298272.10400000005</v>
      </c>
      <c r="F8" s="3">
        <v>242883.08600000001</v>
      </c>
      <c r="G8" s="3">
        <v>400102.01699999999</v>
      </c>
      <c r="H8" s="3">
        <v>133914.20859999998</v>
      </c>
      <c r="I8" s="3"/>
      <c r="J8" s="3"/>
      <c r="K8" s="3"/>
      <c r="L8" s="3"/>
      <c r="M8" s="140"/>
      <c r="N8" s="15">
        <f>SUM(B8:M8)</f>
        <v>2229195.9635999999</v>
      </c>
    </row>
    <row r="9" spans="1:14">
      <c r="A9" s="112" t="s">
        <v>68</v>
      </c>
      <c r="B9" s="31">
        <f t="shared" ref="B9:M9" si="1">B8/B6</f>
        <v>0.25250116880270623</v>
      </c>
      <c r="C9" s="31">
        <f t="shared" si="1"/>
        <v>0.33792440294841586</v>
      </c>
      <c r="D9" s="31">
        <f t="shared" si="1"/>
        <v>0.30130154425952527</v>
      </c>
      <c r="E9" s="31">
        <f>E8/E6</f>
        <v>0.22733021238573317</v>
      </c>
      <c r="F9" s="31">
        <f>F8/F6</f>
        <v>0.21045027616092313</v>
      </c>
      <c r="G9" s="31">
        <f t="shared" si="1"/>
        <v>0.30323694239451549</v>
      </c>
      <c r="H9" s="31">
        <f t="shared" si="1"/>
        <v>4.9829236413477924E-2</v>
      </c>
      <c r="I9" s="31" t="e">
        <f>I8/I7</f>
        <v>#DIV/0!</v>
      </c>
      <c r="J9" s="31" t="e">
        <f t="shared" si="1"/>
        <v>#DIV/0!</v>
      </c>
      <c r="K9" s="31" t="e">
        <f t="shared" si="1"/>
        <v>#DIV/0!</v>
      </c>
      <c r="L9" s="31" t="e">
        <f t="shared" si="1"/>
        <v>#DIV/0!</v>
      </c>
      <c r="M9" s="31" t="e">
        <f t="shared" si="1"/>
        <v>#DIV/0!</v>
      </c>
      <c r="N9" s="33">
        <f>N8/N6</f>
        <v>0.21412504937705976</v>
      </c>
    </row>
    <row r="10" spans="1:14">
      <c r="B10" s="41"/>
      <c r="C10" s="41"/>
      <c r="D10" s="41"/>
      <c r="E10" s="41"/>
      <c r="F10" s="41"/>
      <c r="G10" s="41"/>
      <c r="H10" s="41"/>
      <c r="I10" s="41"/>
    </row>
    <row r="28" spans="1:14">
      <c r="A28" s="148" t="s">
        <v>54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</row>
    <row r="29" spans="1:14">
      <c r="A29" s="148" t="s">
        <v>15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</row>
    <row r="30" spans="1:14">
      <c r="A30" s="148" t="s">
        <v>25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</row>
    <row r="31" spans="1:14">
      <c r="A31" s="159">
        <v>2018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</row>
    <row r="32" spans="1:14" s="96" customFormat="1">
      <c r="A32" s="93" t="s">
        <v>16</v>
      </c>
      <c r="B32" s="93" t="s">
        <v>2</v>
      </c>
      <c r="C32" s="93" t="s">
        <v>4</v>
      </c>
      <c r="D32" s="93" t="s">
        <v>3</v>
      </c>
      <c r="E32" s="93" t="s">
        <v>5</v>
      </c>
      <c r="F32" s="93" t="s">
        <v>6</v>
      </c>
      <c r="G32" s="93" t="s">
        <v>7</v>
      </c>
      <c r="H32" s="93" t="s">
        <v>8</v>
      </c>
      <c r="I32" s="93" t="s">
        <v>9</v>
      </c>
      <c r="J32" s="93" t="s">
        <v>10</v>
      </c>
      <c r="K32" s="93" t="s">
        <v>11</v>
      </c>
      <c r="L32" s="93" t="s">
        <v>12</v>
      </c>
      <c r="M32" s="95" t="s">
        <v>13</v>
      </c>
      <c r="N32" s="94" t="s">
        <v>36</v>
      </c>
    </row>
    <row r="33" spans="1:14" s="9" customFormat="1">
      <c r="A33" s="16" t="s">
        <v>36</v>
      </c>
      <c r="B33" s="15">
        <f>B34:G34+B35:G35</f>
        <v>189094.77600000004</v>
      </c>
      <c r="C33" s="15">
        <f t="shared" ref="C33:M33" si="2">C34+C35</f>
        <v>238266.08099999983</v>
      </c>
      <c r="D33" s="15">
        <f t="shared" si="2"/>
        <v>170588.30200000003</v>
      </c>
      <c r="E33" s="15">
        <f t="shared" si="2"/>
        <v>183240.34949999995</v>
      </c>
      <c r="F33" s="15">
        <f t="shared" si="2"/>
        <v>130573.95</v>
      </c>
      <c r="G33" s="15">
        <f t="shared" si="2"/>
        <v>152346.79899999997</v>
      </c>
      <c r="H33" s="15">
        <f t="shared" si="2"/>
        <v>133914.20859999998</v>
      </c>
      <c r="I33" s="15">
        <f t="shared" si="2"/>
        <v>0</v>
      </c>
      <c r="J33" s="15">
        <f t="shared" si="2"/>
        <v>0</v>
      </c>
      <c r="K33" s="15">
        <f t="shared" si="2"/>
        <v>0</v>
      </c>
      <c r="L33" s="15">
        <f t="shared" si="2"/>
        <v>0</v>
      </c>
      <c r="M33" s="97">
        <f t="shared" si="2"/>
        <v>0</v>
      </c>
      <c r="N33" s="15">
        <f>SUM(B33:M33)</f>
        <v>1198024.4660999996</v>
      </c>
    </row>
    <row r="34" spans="1:14">
      <c r="A34" s="1" t="s">
        <v>1</v>
      </c>
      <c r="B34" s="40">
        <v>134810.27799999999</v>
      </c>
      <c r="C34" s="40">
        <v>185477.39299999987</v>
      </c>
      <c r="D34" s="40">
        <v>109705.23900000003</v>
      </c>
      <c r="E34" s="44">
        <v>128761.20449999993</v>
      </c>
      <c r="F34" s="40">
        <v>90568.792999999991</v>
      </c>
      <c r="G34" s="40">
        <v>103696.42599999995</v>
      </c>
      <c r="H34" s="40">
        <v>114064.73659999997</v>
      </c>
      <c r="I34" s="40"/>
      <c r="J34" s="40"/>
      <c r="K34" s="40"/>
      <c r="L34" s="40"/>
      <c r="M34" s="139"/>
      <c r="N34" s="15">
        <f>SUM(B34:M34)</f>
        <v>867084.07009999978</v>
      </c>
    </row>
    <row r="35" spans="1:14">
      <c r="A35" s="1" t="s">
        <v>17</v>
      </c>
      <c r="B35" s="40">
        <v>54284.498000000043</v>
      </c>
      <c r="C35" s="40">
        <v>52788.68799999998</v>
      </c>
      <c r="D35" s="40">
        <v>60883.063000000002</v>
      </c>
      <c r="E35" s="40">
        <v>54479.145000000026</v>
      </c>
      <c r="F35" s="40">
        <v>40005.157000000007</v>
      </c>
      <c r="G35" s="40">
        <v>48650.373000000014</v>
      </c>
      <c r="H35" s="40">
        <v>19849.472000000002</v>
      </c>
      <c r="I35" s="40"/>
      <c r="J35" s="40"/>
      <c r="K35" s="40"/>
      <c r="L35" s="126"/>
      <c r="M35" s="139"/>
      <c r="N35" s="15">
        <f>SUM(B35:M35)</f>
        <v>330940.39600000007</v>
      </c>
    </row>
    <row r="36" spans="1:14">
      <c r="A36" s="112" t="s">
        <v>68</v>
      </c>
      <c r="B36" s="31">
        <f t="shared" ref="B36:M36" si="3">B35/B33</f>
        <v>0.28707560911148616</v>
      </c>
      <c r="C36" s="31">
        <f t="shared" si="3"/>
        <v>0.22155351604578588</v>
      </c>
      <c r="D36" s="31">
        <f t="shared" si="3"/>
        <v>0.35690057457749941</v>
      </c>
      <c r="E36" s="31">
        <f>E35/E33</f>
        <v>0.29730976364460621</v>
      </c>
      <c r="F36" s="31">
        <f>F35/F33</f>
        <v>0.30637931225945148</v>
      </c>
      <c r="G36" s="31">
        <f>G35/G33</f>
        <v>0.3193396469065295</v>
      </c>
      <c r="H36" s="31">
        <f t="shared" si="3"/>
        <v>0.1482252869767548</v>
      </c>
      <c r="I36" s="31" t="e">
        <f t="shared" si="3"/>
        <v>#DIV/0!</v>
      </c>
      <c r="J36" s="31" t="e">
        <f t="shared" si="3"/>
        <v>#DIV/0!</v>
      </c>
      <c r="K36" s="31" t="e">
        <f t="shared" si="3"/>
        <v>#DIV/0!</v>
      </c>
      <c r="L36" s="31" t="e">
        <f t="shared" si="3"/>
        <v>#DIV/0!</v>
      </c>
      <c r="M36" s="31" t="e">
        <f t="shared" si="3"/>
        <v>#DIV/0!</v>
      </c>
      <c r="N36" s="33">
        <f>N35/N33</f>
        <v>0.27623842865023451</v>
      </c>
    </row>
    <row r="37" spans="1:14">
      <c r="A37" s="27"/>
      <c r="B37" s="35"/>
      <c r="C37" s="35"/>
      <c r="D37" s="35"/>
      <c r="E37" s="43"/>
      <c r="F37" s="35"/>
      <c r="G37" s="35"/>
      <c r="H37" s="35"/>
      <c r="I37" s="35"/>
      <c r="J37" s="35"/>
      <c r="K37" s="35"/>
      <c r="L37" s="35"/>
      <c r="M37" s="35"/>
    </row>
    <row r="56" spans="1:14">
      <c r="A56" s="148" t="s">
        <v>33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</row>
    <row r="57" spans="1:14">
      <c r="A57" s="148" t="s">
        <v>34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</row>
    <row r="58" spans="1:14">
      <c r="A58" s="148" t="s">
        <v>35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</row>
    <row r="59" spans="1:14">
      <c r="A59" s="162">
        <v>2017</v>
      </c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</row>
    <row r="60" spans="1:14">
      <c r="A60" s="16" t="s">
        <v>16</v>
      </c>
      <c r="B60" s="141" t="s">
        <v>104</v>
      </c>
      <c r="C60" s="141" t="s">
        <v>105</v>
      </c>
      <c r="D60" s="141" t="s">
        <v>106</v>
      </c>
      <c r="E60" s="141" t="s">
        <v>107</v>
      </c>
      <c r="F60" s="141" t="s">
        <v>108</v>
      </c>
      <c r="G60" s="141" t="s">
        <v>109</v>
      </c>
      <c r="H60" s="141" t="s">
        <v>115</v>
      </c>
      <c r="I60" s="141" t="s">
        <v>116</v>
      </c>
      <c r="J60" s="141" t="s">
        <v>117</v>
      </c>
      <c r="K60" s="141" t="s">
        <v>118</v>
      </c>
      <c r="L60" s="141" t="s">
        <v>119</v>
      </c>
      <c r="M60" s="141" t="s">
        <v>120</v>
      </c>
      <c r="N60" s="141" t="s">
        <v>121</v>
      </c>
    </row>
    <row r="61" spans="1:14">
      <c r="A61" s="146" t="s">
        <v>1</v>
      </c>
      <c r="B61" s="139">
        <v>142713.14169999998</v>
      </c>
      <c r="C61" s="40">
        <v>122856.33039999995</v>
      </c>
      <c r="D61" s="40">
        <v>150206.14889999988</v>
      </c>
      <c r="E61" s="139">
        <v>150771.55590000001</v>
      </c>
      <c r="F61" s="40">
        <v>108047.00550000003</v>
      </c>
      <c r="G61" s="40">
        <v>111013.58696999999</v>
      </c>
      <c r="H61" s="139">
        <v>134810.27799999999</v>
      </c>
      <c r="I61" s="40">
        <v>185477.39299999987</v>
      </c>
      <c r="J61" s="40">
        <v>109705.23900000003</v>
      </c>
      <c r="K61" s="139">
        <v>128761.20449999993</v>
      </c>
      <c r="L61" s="40">
        <v>90568.792999999991</v>
      </c>
      <c r="M61" s="40">
        <v>103696.42599999995</v>
      </c>
      <c r="N61" s="40">
        <v>114064.73659999997</v>
      </c>
    </row>
    <row r="62" spans="1:14">
      <c r="A62" s="146" t="s">
        <v>17</v>
      </c>
      <c r="B62" s="139">
        <v>51257.440000000053</v>
      </c>
      <c r="C62" s="40">
        <v>60848.203999999998</v>
      </c>
      <c r="D62" s="40">
        <v>64792.858000000015</v>
      </c>
      <c r="E62" s="139">
        <v>70389.875999999989</v>
      </c>
      <c r="F62" s="40">
        <v>95640.385000000009</v>
      </c>
      <c r="G62" s="40">
        <v>51327.400999999969</v>
      </c>
      <c r="H62" s="139">
        <v>54284.498000000043</v>
      </c>
      <c r="I62" s="40">
        <v>52788.68799999998</v>
      </c>
      <c r="J62" s="40">
        <v>60883.063000000002</v>
      </c>
      <c r="K62" s="139">
        <v>54479.145000000026</v>
      </c>
      <c r="L62" s="40">
        <v>40005.157000000007</v>
      </c>
      <c r="M62" s="40">
        <v>48650.373000000014</v>
      </c>
      <c r="N62" s="40">
        <v>19849.472000000002</v>
      </c>
    </row>
    <row r="81" spans="1:14">
      <c r="A81" s="148" t="s">
        <v>112</v>
      </c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>
      <c r="A82" s="150" t="s">
        <v>25</v>
      </c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s="96" customFormat="1">
      <c r="A83" s="93"/>
      <c r="B83" s="93" t="s">
        <v>2</v>
      </c>
      <c r="C83" s="93" t="s">
        <v>4</v>
      </c>
      <c r="D83" s="93" t="s">
        <v>3</v>
      </c>
      <c r="E83" s="93" t="s">
        <v>5</v>
      </c>
      <c r="F83" s="93" t="s">
        <v>6</v>
      </c>
      <c r="G83" s="93" t="s">
        <v>7</v>
      </c>
      <c r="H83" s="93" t="s">
        <v>8</v>
      </c>
      <c r="I83" s="93" t="s">
        <v>9</v>
      </c>
      <c r="J83" s="93" t="s">
        <v>10</v>
      </c>
      <c r="K83" s="93" t="s">
        <v>11</v>
      </c>
      <c r="L83" s="93" t="s">
        <v>12</v>
      </c>
      <c r="M83" s="93" t="s">
        <v>13</v>
      </c>
      <c r="N83" s="94" t="s">
        <v>36</v>
      </c>
    </row>
    <row r="84" spans="1:14">
      <c r="A84" s="75" t="s">
        <v>52</v>
      </c>
      <c r="B84" s="15">
        <f>B85+B86</f>
        <v>1471259.8549999995</v>
      </c>
      <c r="C84" s="15">
        <f t="shared" ref="C84:L84" si="4">C85+C86</f>
        <v>1075952.1739999996</v>
      </c>
      <c r="D84" s="15">
        <f t="shared" si="4"/>
        <v>1390431.7020000003</v>
      </c>
      <c r="E84" s="15">
        <f t="shared" si="4"/>
        <v>1312065.3909999998</v>
      </c>
      <c r="F84" s="15">
        <f t="shared" si="4"/>
        <v>1154111.5100000002</v>
      </c>
      <c r="G84" s="15">
        <f t="shared" si="4"/>
        <v>1319436.9189999998</v>
      </c>
      <c r="H84" s="15">
        <f t="shared" si="4"/>
        <v>2687462.5869999998</v>
      </c>
      <c r="I84" s="15">
        <f t="shared" si="4"/>
        <v>0</v>
      </c>
      <c r="J84" s="15">
        <f t="shared" si="4"/>
        <v>0</v>
      </c>
      <c r="K84" s="15">
        <f t="shared" si="4"/>
        <v>0</v>
      </c>
      <c r="L84" s="15">
        <f t="shared" si="4"/>
        <v>0</v>
      </c>
      <c r="M84" s="15">
        <f>M85+M86</f>
        <v>0</v>
      </c>
      <c r="N84" s="15">
        <f>N85+N86</f>
        <v>10410720.137999998</v>
      </c>
    </row>
    <row r="85" spans="1:14">
      <c r="A85" s="21" t="s">
        <v>26</v>
      </c>
      <c r="B85" s="40">
        <v>818977.0159999996</v>
      </c>
      <c r="C85" s="40">
        <v>343843.74599999981</v>
      </c>
      <c r="D85" s="40">
        <v>430393.10500000016</v>
      </c>
      <c r="E85" s="40">
        <v>459732.74699999997</v>
      </c>
      <c r="F85" s="40">
        <v>284922.23800000001</v>
      </c>
      <c r="G85" s="40">
        <v>529465.20499999984</v>
      </c>
      <c r="H85" s="40">
        <f>[1]Mensal!$H$18</f>
        <v>1512828.1849999996</v>
      </c>
      <c r="I85" s="40"/>
      <c r="J85" s="40"/>
      <c r="K85" s="40"/>
      <c r="L85" s="139"/>
      <c r="M85" s="139"/>
      <c r="N85" s="15">
        <f>SUM(B85:M85)</f>
        <v>4380162.2419999987</v>
      </c>
    </row>
    <row r="86" spans="1:14">
      <c r="A86" s="23" t="s">
        <v>27</v>
      </c>
      <c r="B86" s="40">
        <v>652282.83900000004</v>
      </c>
      <c r="C86" s="40">
        <v>732108.42799999996</v>
      </c>
      <c r="D86" s="40">
        <v>960038.59700000007</v>
      </c>
      <c r="E86" s="40">
        <v>852332.64399999997</v>
      </c>
      <c r="F86" s="40">
        <v>869189.27200000011</v>
      </c>
      <c r="G86" s="40">
        <v>789971.71400000004</v>
      </c>
      <c r="H86" s="40">
        <f>[1]Mensal!$H$30</f>
        <v>1174634.4020000002</v>
      </c>
      <c r="I86" s="40"/>
      <c r="J86" s="40"/>
      <c r="K86" s="40"/>
      <c r="L86" s="139"/>
      <c r="M86" s="139"/>
      <c r="N86" s="15">
        <f>SUM(B86:M86)</f>
        <v>6030557.8959999997</v>
      </c>
    </row>
    <row r="103" spans="1:16">
      <c r="P103" s="55"/>
    </row>
    <row r="104" spans="1:16">
      <c r="P104" s="142"/>
    </row>
    <row r="105" spans="1:16">
      <c r="A105" s="155" t="s">
        <v>113</v>
      </c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</row>
    <row r="106" spans="1:16">
      <c r="A106" s="154" t="s">
        <v>25</v>
      </c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</row>
    <row r="107" spans="1:16" s="96" customFormat="1">
      <c r="A107" s="93"/>
      <c r="B107" s="93" t="s">
        <v>2</v>
      </c>
      <c r="C107" s="93" t="s">
        <v>4</v>
      </c>
      <c r="D107" s="93" t="s">
        <v>3</v>
      </c>
      <c r="E107" s="93" t="s">
        <v>5</v>
      </c>
      <c r="F107" s="93" t="s">
        <v>6</v>
      </c>
      <c r="G107" s="93" t="s">
        <v>7</v>
      </c>
      <c r="H107" s="93" t="s">
        <v>8</v>
      </c>
      <c r="I107" s="93" t="s">
        <v>9</v>
      </c>
      <c r="J107" s="93" t="s">
        <v>10</v>
      </c>
      <c r="K107" s="93" t="s">
        <v>11</v>
      </c>
      <c r="L107" s="93" t="s">
        <v>12</v>
      </c>
      <c r="M107" s="93" t="s">
        <v>13</v>
      </c>
      <c r="N107" s="94" t="s">
        <v>36</v>
      </c>
    </row>
    <row r="108" spans="1:16">
      <c r="A108" s="19" t="s">
        <v>28</v>
      </c>
      <c r="B108" s="102">
        <v>51238171.703000002</v>
      </c>
      <c r="C108" s="55">
        <v>41261563.175999999</v>
      </c>
      <c r="D108" s="81">
        <v>54558921.059</v>
      </c>
      <c r="E108" s="133">
        <v>50398308.954000004</v>
      </c>
      <c r="F108" s="46">
        <v>33127282.272999998</v>
      </c>
      <c r="G108" s="81">
        <v>27559338.565000001</v>
      </c>
      <c r="H108" s="81">
        <v>27295559.066999782</v>
      </c>
      <c r="I108" s="48"/>
      <c r="J108" s="24"/>
      <c r="K108" s="55"/>
      <c r="L108" s="81"/>
      <c r="M108" s="99"/>
      <c r="N108" s="100">
        <f>SUM(B108:M108)</f>
        <v>285439144.79699981</v>
      </c>
      <c r="O108" s="82"/>
      <c r="P108" s="55"/>
    </row>
    <row r="109" spans="1:16">
      <c r="A109" s="18" t="s">
        <v>29</v>
      </c>
      <c r="B109" s="40">
        <v>652282.83900000004</v>
      </c>
      <c r="C109" s="40">
        <v>732108.42799999996</v>
      </c>
      <c r="D109" s="40">
        <v>960038.59700000007</v>
      </c>
      <c r="E109" s="40">
        <v>852332.64399999997</v>
      </c>
      <c r="F109" s="40">
        <v>869189.27200000011</v>
      </c>
      <c r="G109" s="40">
        <v>789971.71400000004</v>
      </c>
      <c r="H109" s="40">
        <f t="shared" ref="H109:M109" si="5">H86</f>
        <v>1174634.4020000002</v>
      </c>
      <c r="I109" s="40">
        <f t="shared" si="5"/>
        <v>0</v>
      </c>
      <c r="J109" s="40">
        <f t="shared" si="5"/>
        <v>0</v>
      </c>
      <c r="K109" s="40">
        <f t="shared" si="5"/>
        <v>0</v>
      </c>
      <c r="L109" s="40">
        <f t="shared" si="5"/>
        <v>0</v>
      </c>
      <c r="M109" s="40">
        <f t="shared" si="5"/>
        <v>0</v>
      </c>
      <c r="N109" s="15">
        <f>SUM(B109:M109)</f>
        <v>6030557.8959999997</v>
      </c>
    </row>
    <row r="110" spans="1:16">
      <c r="A110" s="115" t="s">
        <v>39</v>
      </c>
      <c r="B110" s="51">
        <f t="shared" ref="B110:N110" si="6">B109/B108</f>
        <v>1.2730408157046102E-2</v>
      </c>
      <c r="C110" s="51">
        <f t="shared" si="6"/>
        <v>1.7743109364936387E-2</v>
      </c>
      <c r="D110" s="51">
        <f t="shared" si="6"/>
        <v>1.7596363314476372E-2</v>
      </c>
      <c r="E110" s="51">
        <f t="shared" si="6"/>
        <v>1.6911929421638904E-2</v>
      </c>
      <c r="F110" s="51">
        <f t="shared" si="6"/>
        <v>2.6237868378005236E-2</v>
      </c>
      <c r="G110" s="51">
        <f t="shared" si="6"/>
        <v>2.8664393092628637E-2</v>
      </c>
      <c r="H110" s="51">
        <f>H109/H108</f>
        <v>4.3033901563134802E-2</v>
      </c>
      <c r="I110" s="51" t="e">
        <f t="shared" si="6"/>
        <v>#DIV/0!</v>
      </c>
      <c r="J110" s="51" t="e">
        <f t="shared" si="6"/>
        <v>#DIV/0!</v>
      </c>
      <c r="K110" s="51" t="e">
        <f t="shared" si="6"/>
        <v>#DIV/0!</v>
      </c>
      <c r="L110" s="51" t="e">
        <f t="shared" si="6"/>
        <v>#DIV/0!</v>
      </c>
      <c r="M110" s="51" t="e">
        <f t="shared" si="6"/>
        <v>#DIV/0!</v>
      </c>
      <c r="N110" s="51">
        <f t="shared" si="6"/>
        <v>2.1127298080607849E-2</v>
      </c>
      <c r="O110" s="42"/>
    </row>
    <row r="114" spans="1:18">
      <c r="P114" s="55"/>
    </row>
    <row r="116" spans="1:18">
      <c r="R116" s="55"/>
    </row>
    <row r="127" spans="1:18">
      <c r="A127" s="155" t="s">
        <v>111</v>
      </c>
      <c r="B127" s="155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</row>
    <row r="128" spans="1:18">
      <c r="A128" s="154" t="s">
        <v>25</v>
      </c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</row>
    <row r="129" spans="1:18" s="96" customFormat="1">
      <c r="A129" s="93"/>
      <c r="B129" s="93" t="s">
        <v>2</v>
      </c>
      <c r="C129" s="93" t="s">
        <v>4</v>
      </c>
      <c r="D129" s="93" t="s">
        <v>3</v>
      </c>
      <c r="E129" s="93" t="s">
        <v>5</v>
      </c>
      <c r="F129" s="93" t="s">
        <v>6</v>
      </c>
      <c r="G129" s="93" t="s">
        <v>7</v>
      </c>
      <c r="H129" s="93" t="s">
        <v>8</v>
      </c>
      <c r="I129" s="93" t="s">
        <v>9</v>
      </c>
      <c r="J129" s="93" t="s">
        <v>10</v>
      </c>
      <c r="K129" s="93" t="s">
        <v>11</v>
      </c>
      <c r="L129" s="93" t="s">
        <v>12</v>
      </c>
      <c r="M129" s="93" t="s">
        <v>13</v>
      </c>
      <c r="N129" s="94" t="s">
        <v>36</v>
      </c>
    </row>
    <row r="130" spans="1:18">
      <c r="A130" s="19" t="s">
        <v>28</v>
      </c>
      <c r="B130" s="147">
        <v>11874542.806</v>
      </c>
      <c r="C130" s="147">
        <v>10087498.719000001</v>
      </c>
      <c r="D130" s="147">
        <v>10540093.447000001</v>
      </c>
      <c r="E130" s="147">
        <v>10542783.187000001</v>
      </c>
      <c r="F130" s="147">
        <v>10322962.757999999</v>
      </c>
      <c r="G130" s="147">
        <v>10360859.187999999</v>
      </c>
      <c r="H130" s="134">
        <v>12313032.888000125</v>
      </c>
      <c r="I130" s="48"/>
      <c r="J130" s="40"/>
      <c r="K130" s="40"/>
      <c r="L130" s="55"/>
      <c r="M130" s="40"/>
      <c r="N130" s="15">
        <f>SUM(B130:M130)</f>
        <v>76041772.993000135</v>
      </c>
    </row>
    <row r="131" spans="1:18" ht="15" customHeight="1">
      <c r="A131" s="18" t="s">
        <v>29</v>
      </c>
      <c r="B131" s="40">
        <v>818977.0159999996</v>
      </c>
      <c r="C131" s="40">
        <v>343843.74599999981</v>
      </c>
      <c r="D131" s="40">
        <v>430393.10500000016</v>
      </c>
      <c r="E131" s="40">
        <v>459732.74699999997</v>
      </c>
      <c r="F131" s="40">
        <v>284922.23800000001</v>
      </c>
      <c r="G131" s="40">
        <v>529465.20499999984</v>
      </c>
      <c r="H131" s="40">
        <f t="shared" ref="H131:M131" si="7">H85</f>
        <v>1512828.1849999996</v>
      </c>
      <c r="I131" s="40">
        <f t="shared" si="7"/>
        <v>0</v>
      </c>
      <c r="J131" s="40">
        <f t="shared" si="7"/>
        <v>0</v>
      </c>
      <c r="K131" s="40">
        <f t="shared" si="7"/>
        <v>0</v>
      </c>
      <c r="L131" s="40">
        <f t="shared" si="7"/>
        <v>0</v>
      </c>
      <c r="M131" s="40">
        <f t="shared" si="7"/>
        <v>0</v>
      </c>
      <c r="N131" s="15">
        <f>SUM(B131:M131)</f>
        <v>4380162.2419999987</v>
      </c>
      <c r="P131" s="82"/>
      <c r="R131" s="82"/>
    </row>
    <row r="132" spans="1:18">
      <c r="A132" s="115" t="s">
        <v>39</v>
      </c>
      <c r="B132" s="51">
        <f t="shared" ref="B132:M132" si="8">B131/B130</f>
        <v>6.8969140907571169E-2</v>
      </c>
      <c r="C132" s="51">
        <f t="shared" si="8"/>
        <v>3.4086125369449952E-2</v>
      </c>
      <c r="D132" s="51">
        <f t="shared" si="8"/>
        <v>4.0833898405568864E-2</v>
      </c>
      <c r="E132" s="51">
        <f>E131/E130</f>
        <v>4.3606393003214089E-2</v>
      </c>
      <c r="F132" s="51">
        <f>F131/F130</f>
        <v>2.7600820101689651E-2</v>
      </c>
      <c r="G132" s="51">
        <f>G131/G130</f>
        <v>5.1102441930031169E-2</v>
      </c>
      <c r="H132" s="51">
        <f>H131/H130</f>
        <v>0.12286397663035173</v>
      </c>
      <c r="I132" s="51">
        <f>I131/H130</f>
        <v>0</v>
      </c>
      <c r="J132" s="51" t="e">
        <f t="shared" si="8"/>
        <v>#DIV/0!</v>
      </c>
      <c r="K132" s="51" t="e">
        <f t="shared" si="8"/>
        <v>#DIV/0!</v>
      </c>
      <c r="L132" s="51" t="e">
        <f t="shared" si="8"/>
        <v>#DIV/0!</v>
      </c>
      <c r="M132" s="51" t="e">
        <f t="shared" si="8"/>
        <v>#DIV/0!</v>
      </c>
      <c r="N132" s="51">
        <f>N131/N130</f>
        <v>5.760205305054112E-2</v>
      </c>
      <c r="O132" s="42"/>
    </row>
    <row r="150" spans="1:15">
      <c r="A150" t="s">
        <v>21</v>
      </c>
    </row>
    <row r="153" spans="1:15">
      <c r="A153" s="152" t="s">
        <v>110</v>
      </c>
      <c r="B153" s="152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</row>
    <row r="154" spans="1:15">
      <c r="A154" s="103"/>
      <c r="B154" s="93" t="s">
        <v>2</v>
      </c>
      <c r="C154" s="93" t="s">
        <v>4</v>
      </c>
      <c r="D154" s="93" t="s">
        <v>3</v>
      </c>
      <c r="E154" s="93" t="s">
        <v>5</v>
      </c>
      <c r="F154" s="93" t="s">
        <v>6</v>
      </c>
      <c r="G154" s="93" t="s">
        <v>7</v>
      </c>
      <c r="H154" s="93" t="s">
        <v>8</v>
      </c>
      <c r="I154" s="93" t="s">
        <v>9</v>
      </c>
      <c r="J154" s="93" t="s">
        <v>10</v>
      </c>
      <c r="K154" s="93" t="s">
        <v>11</v>
      </c>
      <c r="L154" s="93" t="s">
        <v>12</v>
      </c>
      <c r="M154" s="93" t="s">
        <v>13</v>
      </c>
      <c r="N154" s="94" t="s">
        <v>36</v>
      </c>
    </row>
    <row r="155" spans="1:15">
      <c r="A155" s="19" t="s">
        <v>28</v>
      </c>
      <c r="B155" s="102">
        <v>63112714.509000003</v>
      </c>
      <c r="C155" s="102">
        <v>51349061.894999996</v>
      </c>
      <c r="D155" s="102">
        <v>65099014.505999997</v>
      </c>
      <c r="E155" s="102">
        <v>60941092.141000003</v>
      </c>
      <c r="F155" s="102">
        <v>43450245.030999996</v>
      </c>
      <c r="G155" s="102">
        <v>37920197.752999999</v>
      </c>
      <c r="H155" s="102">
        <f>H130+H108</f>
        <v>39608591.954999909</v>
      </c>
      <c r="I155" s="102">
        <f>I130+I108</f>
        <v>0</v>
      </c>
      <c r="J155" s="102">
        <f t="shared" ref="J155:N155" si="9">J108+J130</f>
        <v>0</v>
      </c>
      <c r="K155" s="102">
        <f t="shared" si="9"/>
        <v>0</v>
      </c>
      <c r="L155" s="102">
        <f t="shared" si="9"/>
        <v>0</v>
      </c>
      <c r="M155" s="102">
        <f>M108+M130</f>
        <v>0</v>
      </c>
      <c r="N155" s="105">
        <f t="shared" si="9"/>
        <v>361480917.78999996</v>
      </c>
      <c r="O155" s="82"/>
    </row>
    <row r="156" spans="1:15">
      <c r="A156" s="18" t="s">
        <v>29</v>
      </c>
      <c r="B156" s="117">
        <v>1471259.8549999995</v>
      </c>
      <c r="C156" s="117">
        <v>1075952.1739999996</v>
      </c>
      <c r="D156" s="117">
        <v>1390431.7020000003</v>
      </c>
      <c r="E156" s="117">
        <v>1312065.3909999998</v>
      </c>
      <c r="F156" s="117">
        <v>1154111.5100000002</v>
      </c>
      <c r="G156" s="117">
        <v>1319436.9189999998</v>
      </c>
      <c r="H156" s="15">
        <f t="shared" ref="H156:L156" si="10">H86+H85</f>
        <v>2687462.5869999998</v>
      </c>
      <c r="I156" s="15">
        <f t="shared" si="10"/>
        <v>0</v>
      </c>
      <c r="J156" s="15">
        <f t="shared" si="10"/>
        <v>0</v>
      </c>
      <c r="K156" s="15">
        <f t="shared" si="10"/>
        <v>0</v>
      </c>
      <c r="L156" s="15">
        <f t="shared" si="10"/>
        <v>0</v>
      </c>
      <c r="M156" s="144">
        <f>M131+M109</f>
        <v>0</v>
      </c>
      <c r="N156" s="15">
        <f>N131+N109</f>
        <v>10410720.137999998</v>
      </c>
      <c r="O156" s="143"/>
    </row>
    <row r="157" spans="1:15">
      <c r="A157" s="115" t="s">
        <v>39</v>
      </c>
      <c r="B157" s="119">
        <f>B156/B155</f>
        <v>2.3311623758318852E-2</v>
      </c>
      <c r="C157" s="119">
        <f t="shared" ref="C157:M157" si="11">C156/C155</f>
        <v>2.0953687064432392E-2</v>
      </c>
      <c r="D157" s="119">
        <f t="shared" si="11"/>
        <v>2.1358721211852571E-2</v>
      </c>
      <c r="E157" s="119">
        <f>E156/E155</f>
        <v>2.1530060340308001E-2</v>
      </c>
      <c r="F157" s="119">
        <f>F156/F155</f>
        <v>2.6561680128077258E-2</v>
      </c>
      <c r="G157" s="119">
        <f>G156/G155</f>
        <v>3.4795095943180164E-2</v>
      </c>
      <c r="H157" s="119">
        <f t="shared" si="11"/>
        <v>6.785049541910701E-2</v>
      </c>
      <c r="I157" s="119" t="e">
        <f t="shared" si="11"/>
        <v>#DIV/0!</v>
      </c>
      <c r="J157" s="119" t="e">
        <f t="shared" si="11"/>
        <v>#DIV/0!</v>
      </c>
      <c r="K157" s="119" t="e">
        <f t="shared" si="11"/>
        <v>#DIV/0!</v>
      </c>
      <c r="L157" s="119" t="e">
        <f t="shared" si="11"/>
        <v>#DIV/0!</v>
      </c>
      <c r="M157" s="119" t="e">
        <f t="shared" si="11"/>
        <v>#DIV/0!</v>
      </c>
      <c r="N157" s="104">
        <f>N156/N155</f>
        <v>2.8800192833548243E-2</v>
      </c>
    </row>
    <row r="158" spans="1:15" ht="15" customHeight="1">
      <c r="A158" s="68"/>
      <c r="B158" s="70"/>
      <c r="C158" s="70"/>
      <c r="D158" s="70"/>
      <c r="E158" s="70"/>
      <c r="F158" s="70"/>
      <c r="G158" s="70"/>
      <c r="H158" s="70"/>
      <c r="I158" s="70"/>
      <c r="J158" s="86"/>
      <c r="K158" s="88"/>
      <c r="L158" s="70"/>
      <c r="M158" s="70"/>
      <c r="N158" s="72"/>
    </row>
    <row r="159" spans="1:15">
      <c r="A159" s="68"/>
      <c r="B159" s="73"/>
      <c r="C159" s="73"/>
      <c r="D159" s="73"/>
      <c r="E159" s="73"/>
      <c r="F159" s="73"/>
      <c r="G159" s="73"/>
      <c r="H159" s="73"/>
      <c r="I159" s="73"/>
      <c r="J159" s="89"/>
      <c r="K159" s="88"/>
      <c r="L159" s="73"/>
      <c r="M159" s="73"/>
      <c r="N159" s="74"/>
      <c r="O159" s="42"/>
    </row>
    <row r="160" spans="1:15">
      <c r="K160" s="87"/>
    </row>
    <row r="161" spans="1:14">
      <c r="B161" s="48"/>
      <c r="C161" s="48"/>
      <c r="D161" s="48"/>
      <c r="E161" s="48"/>
    </row>
    <row r="162" spans="1:14">
      <c r="B162" s="55"/>
      <c r="C162" s="55"/>
      <c r="D162" s="55"/>
      <c r="E162" s="55"/>
    </row>
    <row r="163" spans="1:14">
      <c r="B163" s="55"/>
      <c r="C163" s="55"/>
      <c r="D163" s="55"/>
      <c r="E163" s="55"/>
    </row>
    <row r="164" spans="1:14">
      <c r="B164" s="55"/>
      <c r="C164" s="55"/>
      <c r="D164" s="55"/>
      <c r="E164" s="55"/>
    </row>
    <row r="165" spans="1:14">
      <c r="B165" s="55"/>
      <c r="C165" s="55"/>
      <c r="D165" s="55"/>
      <c r="E165" s="55"/>
    </row>
    <row r="166" spans="1:14">
      <c r="B166" s="55"/>
      <c r="C166" s="55"/>
      <c r="D166" s="55"/>
      <c r="E166" s="55"/>
    </row>
    <row r="167" spans="1:14">
      <c r="B167" s="55"/>
      <c r="C167" s="55"/>
      <c r="D167" s="55"/>
      <c r="E167" s="55"/>
    </row>
    <row r="168" spans="1:14">
      <c r="B168" s="55"/>
      <c r="C168" s="55"/>
      <c r="D168" s="55"/>
      <c r="E168" s="55"/>
    </row>
    <row r="169" spans="1:14">
      <c r="B169" s="55"/>
      <c r="C169" s="55"/>
      <c r="D169" s="55"/>
      <c r="E169" s="55"/>
    </row>
    <row r="170" spans="1:14">
      <c r="B170" s="55"/>
      <c r="C170" s="55"/>
      <c r="D170" s="55"/>
      <c r="E170" s="55"/>
    </row>
    <row r="171" spans="1:14">
      <c r="B171" s="55"/>
      <c r="C171" s="55"/>
      <c r="D171" s="55"/>
      <c r="E171" s="55"/>
    </row>
    <row r="176" spans="1:14">
      <c r="A176" s="161"/>
      <c r="B176" s="161"/>
      <c r="C176" s="161"/>
      <c r="D176" s="161"/>
      <c r="E176" s="161"/>
      <c r="F176" s="161"/>
      <c r="G176" s="161"/>
      <c r="H176" s="161"/>
      <c r="I176" s="161"/>
      <c r="J176" s="161"/>
      <c r="K176" s="161"/>
      <c r="L176" s="161"/>
      <c r="M176" s="161"/>
      <c r="N176" s="161"/>
    </row>
    <row r="177" spans="1:15">
      <c r="A177" s="161"/>
      <c r="B177" s="161"/>
      <c r="C177" s="161"/>
      <c r="D177" s="161"/>
      <c r="E177" s="161"/>
      <c r="F177" s="161"/>
      <c r="G177" s="161"/>
      <c r="H177" s="161"/>
      <c r="I177" s="161"/>
      <c r="J177" s="161"/>
      <c r="K177" s="161"/>
      <c r="L177" s="161"/>
      <c r="M177" s="161"/>
      <c r="N177" s="161"/>
    </row>
    <row r="178" spans="1:15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9"/>
    </row>
    <row r="179" spans="1:15">
      <c r="A179" s="68"/>
      <c r="B179" s="70"/>
      <c r="C179" s="70"/>
      <c r="D179" s="71"/>
      <c r="E179" s="71"/>
      <c r="F179" s="70"/>
      <c r="G179" s="70"/>
      <c r="H179" s="70"/>
      <c r="I179" s="70"/>
      <c r="J179" s="70"/>
      <c r="K179" s="70"/>
      <c r="L179" s="70"/>
      <c r="M179" s="70"/>
      <c r="N179" s="72"/>
    </row>
    <row r="180" spans="1:15" ht="15" customHeight="1">
      <c r="A180" s="68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2"/>
    </row>
    <row r="181" spans="1:15">
      <c r="A181" t="s">
        <v>21</v>
      </c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4"/>
      <c r="O181" s="42"/>
    </row>
    <row r="183" spans="1:15">
      <c r="A183" s="68"/>
    </row>
    <row r="184" spans="1:15">
      <c r="B184" s="55"/>
      <c r="C184" s="55"/>
      <c r="D184" s="55"/>
      <c r="E184" s="55"/>
    </row>
    <row r="185" spans="1:15">
      <c r="A185" s="68"/>
      <c r="B185" s="70"/>
      <c r="C185" s="70"/>
      <c r="D185" s="70"/>
      <c r="E185" s="70"/>
    </row>
    <row r="186" spans="1:15">
      <c r="B186" s="55"/>
      <c r="C186" s="55"/>
      <c r="D186" s="55"/>
      <c r="E186" s="55"/>
    </row>
    <row r="187" spans="1:15">
      <c r="B187" s="55"/>
      <c r="C187" s="55"/>
      <c r="D187" s="55"/>
      <c r="E187" s="55"/>
    </row>
  </sheetData>
  <mergeCells count="21">
    <mergeCell ref="A153:N153"/>
    <mergeCell ref="A176:N176"/>
    <mergeCell ref="A177:N177"/>
    <mergeCell ref="A81:N81"/>
    <mergeCell ref="A82:N82"/>
    <mergeCell ref="A105:N105"/>
    <mergeCell ref="A106:N106"/>
    <mergeCell ref="A127:N127"/>
    <mergeCell ref="A128:N128"/>
    <mergeCell ref="A59:N59"/>
    <mergeCell ref="A1:N1"/>
    <mergeCell ref="A2:N2"/>
    <mergeCell ref="A3:N3"/>
    <mergeCell ref="A4:N4"/>
    <mergeCell ref="A28:N28"/>
    <mergeCell ref="A29:N29"/>
    <mergeCell ref="A30:N30"/>
    <mergeCell ref="A31:N31"/>
    <mergeCell ref="A56:N56"/>
    <mergeCell ref="A57:N57"/>
    <mergeCell ref="A58:N5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60"/>
  <sheetViews>
    <sheetView tabSelected="1" zoomScale="90" zoomScaleNormal="90" workbookViewId="0">
      <selection activeCell="F185" sqref="F185"/>
    </sheetView>
  </sheetViews>
  <sheetFormatPr defaultRowHeight="15"/>
  <cols>
    <col min="1" max="1" width="33.28515625" bestFit="1" customWidth="1"/>
    <col min="2" max="11" width="13.28515625" bestFit="1" customWidth="1"/>
    <col min="12" max="12" width="14.85546875" bestFit="1" customWidth="1"/>
  </cols>
  <sheetData>
    <row r="1" spans="1:13">
      <c r="A1" s="156" t="s">
        <v>54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3">
      <c r="A2" s="156" t="s">
        <v>46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3">
      <c r="A3" s="148" t="s">
        <v>25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3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</row>
    <row r="5" spans="1:13">
      <c r="A5" s="1" t="s">
        <v>16</v>
      </c>
      <c r="B5" s="132">
        <v>2008</v>
      </c>
      <c r="C5" s="132">
        <v>2009</v>
      </c>
      <c r="D5" s="132">
        <v>2010</v>
      </c>
      <c r="E5" s="132">
        <v>2011</v>
      </c>
      <c r="F5" s="132">
        <v>2012</v>
      </c>
      <c r="G5" s="132">
        <v>2013</v>
      </c>
      <c r="H5" s="132">
        <v>2014</v>
      </c>
      <c r="I5" s="132">
        <v>2015</v>
      </c>
      <c r="J5" s="132">
        <v>2016</v>
      </c>
      <c r="K5" s="132">
        <v>2017</v>
      </c>
      <c r="L5" s="132" t="s">
        <v>114</v>
      </c>
    </row>
    <row r="6" spans="1:13">
      <c r="A6" s="16" t="s">
        <v>53</v>
      </c>
      <c r="B6" s="15">
        <f t="shared" ref="B6:E6" si="0">B7+B8</f>
        <v>14390583.327000003</v>
      </c>
      <c r="C6" s="15">
        <f t="shared" si="0"/>
        <v>13836589.267000003</v>
      </c>
      <c r="D6" s="15">
        <f t="shared" si="0"/>
        <v>16057204</v>
      </c>
      <c r="E6" s="15">
        <f t="shared" si="0"/>
        <v>16269111</v>
      </c>
      <c r="F6" s="15">
        <v>16610809.551000001</v>
      </c>
      <c r="G6" s="15">
        <v>15764048.209999997</v>
      </c>
      <c r="H6" s="15">
        <v>17381720.953000002</v>
      </c>
      <c r="I6" s="15">
        <v>20214419.168000001</v>
      </c>
      <c r="J6" s="15">
        <v>18021167.798</v>
      </c>
      <c r="K6" s="15">
        <v>20922654.112999998</v>
      </c>
      <c r="L6" s="15">
        <f t="shared" ref="L6" si="1">L7+L8</f>
        <v>10410720.137999998</v>
      </c>
      <c r="M6" s="143"/>
    </row>
    <row r="7" spans="1:13">
      <c r="A7" s="1" t="s">
        <v>1</v>
      </c>
      <c r="B7" s="3">
        <v>11197456.582000002</v>
      </c>
      <c r="C7" s="121">
        <v>10399671.380000003</v>
      </c>
      <c r="D7" s="3">
        <v>12444830</v>
      </c>
      <c r="E7" s="3">
        <v>12583963</v>
      </c>
      <c r="F7" s="3">
        <v>12812454.742000001</v>
      </c>
      <c r="G7" s="3">
        <v>12403232.181999998</v>
      </c>
      <c r="H7" s="3">
        <v>13764231.706000002</v>
      </c>
      <c r="I7" s="3">
        <v>16255145.243000001</v>
      </c>
      <c r="J7" s="3">
        <v>14254226.077</v>
      </c>
      <c r="K7" s="3">
        <v>17240753.473999999</v>
      </c>
      <c r="L7" s="3">
        <f>'2018'!N7</f>
        <v>8181524.174399999</v>
      </c>
      <c r="M7" s="143"/>
    </row>
    <row r="8" spans="1:13">
      <c r="A8" s="1" t="s">
        <v>17</v>
      </c>
      <c r="B8" s="3">
        <v>3193126.7450000006</v>
      </c>
      <c r="C8" s="122">
        <v>3436917.8869999996</v>
      </c>
      <c r="D8" s="3">
        <v>3612374</v>
      </c>
      <c r="E8" s="3">
        <v>3685148</v>
      </c>
      <c r="F8" s="3">
        <v>3798354.8089999999</v>
      </c>
      <c r="G8" s="3">
        <v>3360816.0279999999</v>
      </c>
      <c r="H8" s="3">
        <v>3617489.2470000004</v>
      </c>
      <c r="I8" s="3">
        <v>3959273.9250000003</v>
      </c>
      <c r="J8" s="3">
        <v>3766941.7209999994</v>
      </c>
      <c r="K8" s="3">
        <v>3681900.6390000004</v>
      </c>
      <c r="L8" s="3">
        <f>'2018'!N8</f>
        <v>2229195.9635999999</v>
      </c>
      <c r="M8" s="143"/>
    </row>
    <row r="9" spans="1:13">
      <c r="A9" s="112" t="s">
        <v>68</v>
      </c>
      <c r="B9" s="31">
        <f>B8/B7</f>
        <v>0.28516536068851356</v>
      </c>
      <c r="C9" s="31">
        <f>C8/C7</f>
        <v>0.33048331638725287</v>
      </c>
      <c r="D9" s="31">
        <f>D8/D7</f>
        <v>0.29027106035196948</v>
      </c>
      <c r="E9" s="31">
        <f>E8/E7</f>
        <v>0.2928447898329008</v>
      </c>
      <c r="F9" s="31">
        <v>0.29645800789046017</v>
      </c>
      <c r="G9" s="31">
        <v>0.27096292149374845</v>
      </c>
      <c r="H9" s="31">
        <v>0.26281810160338198</v>
      </c>
      <c r="I9" s="31">
        <v>0.2435705043426169</v>
      </c>
      <c r="J9" s="31">
        <v>0.26426841419880193</v>
      </c>
      <c r="K9" s="31">
        <v>0.21355798889836852</v>
      </c>
      <c r="L9" s="31">
        <f>L8/L7</f>
        <v>0.27246707533727726</v>
      </c>
    </row>
    <row r="10" spans="1:13">
      <c r="B10" s="41"/>
      <c r="C10" s="41"/>
      <c r="D10" s="41"/>
      <c r="E10" s="41"/>
      <c r="F10" s="41"/>
      <c r="G10" s="41"/>
      <c r="H10" s="41"/>
      <c r="I10" s="41"/>
    </row>
    <row r="28" spans="1:12">
      <c r="A28" s="148" t="s">
        <v>54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</row>
    <row r="29" spans="1:12">
      <c r="A29" s="148" t="s">
        <v>15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</row>
    <row r="30" spans="1:12">
      <c r="A30" s="148" t="s">
        <v>25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</row>
    <row r="31" spans="1:12">
      <c r="A31" s="159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</row>
    <row r="32" spans="1:12" s="96" customFormat="1">
      <c r="A32" s="93" t="s">
        <v>16</v>
      </c>
      <c r="B32" s="132">
        <v>2008</v>
      </c>
      <c r="C32" s="132">
        <v>2009</v>
      </c>
      <c r="D32" s="132">
        <v>2010</v>
      </c>
      <c r="E32" s="132">
        <v>2011</v>
      </c>
      <c r="F32" s="132">
        <v>2012</v>
      </c>
      <c r="G32" s="132">
        <v>2013</v>
      </c>
      <c r="H32" s="132">
        <v>2014</v>
      </c>
      <c r="I32" s="132">
        <v>2015</v>
      </c>
      <c r="J32" s="132">
        <v>2016</v>
      </c>
      <c r="K32" s="132">
        <v>2017</v>
      </c>
      <c r="L32" s="132" t="s">
        <v>114</v>
      </c>
    </row>
    <row r="33" spans="1:13" s="9" customFormat="1">
      <c r="A33" s="16" t="s">
        <v>36</v>
      </c>
      <c r="B33" s="15">
        <v>2299996.8309999998</v>
      </c>
      <c r="C33" s="15">
        <v>1794550.0274999994</v>
      </c>
      <c r="D33" s="15">
        <v>1881082</v>
      </c>
      <c r="E33" s="15">
        <v>1763422</v>
      </c>
      <c r="F33" s="15">
        <v>2018479.5889999995</v>
      </c>
      <c r="G33" s="15">
        <v>2255852.7234999998</v>
      </c>
      <c r="H33" s="15">
        <v>2029462.1279999996</v>
      </c>
      <c r="I33" s="15">
        <v>2696075.1355999992</v>
      </c>
      <c r="J33" s="15">
        <v>2363568.5719999992</v>
      </c>
      <c r="K33" s="15">
        <v>2325620.1842699996</v>
      </c>
      <c r="L33" s="15">
        <f>L34+L35</f>
        <v>1198024.4660999998</v>
      </c>
      <c r="M33" s="145"/>
    </row>
    <row r="34" spans="1:13">
      <c r="A34" s="1" t="s">
        <v>1</v>
      </c>
      <c r="B34" s="40">
        <v>1767447.8039999998</v>
      </c>
      <c r="C34" s="40">
        <v>1269871.7844999998</v>
      </c>
      <c r="D34" s="44">
        <v>1271915</v>
      </c>
      <c r="E34" s="40">
        <v>1330864</v>
      </c>
      <c r="F34" s="40">
        <v>1365657.5229999998</v>
      </c>
      <c r="G34" s="40">
        <v>1669005.4224999999</v>
      </c>
      <c r="H34" s="40">
        <v>1491005.6469999996</v>
      </c>
      <c r="I34" s="40">
        <v>1828352.1155999994</v>
      </c>
      <c r="J34" s="40">
        <v>1585531.1869999992</v>
      </c>
      <c r="K34" s="40">
        <v>1618458.1482699995</v>
      </c>
      <c r="L34" s="46">
        <f>'2018'!N34</f>
        <v>867084.07009999978</v>
      </c>
      <c r="M34" s="145"/>
    </row>
    <row r="35" spans="1:13">
      <c r="A35" s="1" t="s">
        <v>17</v>
      </c>
      <c r="B35" s="40">
        <v>532549.027</v>
      </c>
      <c r="C35" s="40">
        <v>524678.24299999943</v>
      </c>
      <c r="D35" s="40">
        <v>609167</v>
      </c>
      <c r="E35" s="40">
        <v>432558</v>
      </c>
      <c r="F35" s="40">
        <v>652822.06599999964</v>
      </c>
      <c r="G35" s="40">
        <v>586847.30099999986</v>
      </c>
      <c r="H35" s="40">
        <v>538456.48100000003</v>
      </c>
      <c r="I35" s="40">
        <v>867723.01999999979</v>
      </c>
      <c r="J35" s="40">
        <v>778037.38500000001</v>
      </c>
      <c r="K35" s="40">
        <v>707162.03599999996</v>
      </c>
      <c r="L35" s="40">
        <f>'2018'!N35</f>
        <v>330940.39600000007</v>
      </c>
      <c r="M35" s="145"/>
    </row>
    <row r="36" spans="1:13">
      <c r="A36" s="112" t="s">
        <v>68</v>
      </c>
      <c r="B36" s="31">
        <v>0.23154337424389262</v>
      </c>
      <c r="C36" s="31">
        <v>0.29237314923503832</v>
      </c>
      <c r="D36" s="31">
        <v>0.3238386205386049</v>
      </c>
      <c r="E36" s="31">
        <v>0.24529466004166897</v>
      </c>
      <c r="F36" s="31">
        <v>0.32342267395600593</v>
      </c>
      <c r="G36" s="31">
        <v>0.26014433251187369</v>
      </c>
      <c r="H36" s="31">
        <v>0.26531979758136198</v>
      </c>
      <c r="I36" s="31">
        <v>0.32184674994485712</v>
      </c>
      <c r="J36" s="31">
        <v>0.32917910409582152</v>
      </c>
      <c r="K36" s="31">
        <v>0.30407460374789214</v>
      </c>
      <c r="L36" s="31">
        <f>L35/L33</f>
        <v>0.27623842865023446</v>
      </c>
    </row>
    <row r="37" spans="1:13">
      <c r="A37" s="27"/>
      <c r="B37" s="35">
        <f t="shared" ref="B37:K37" si="2">B36/B34</f>
        <v>1.3100436330842428E-7</v>
      </c>
      <c r="C37" s="35">
        <f t="shared" si="2"/>
        <v>2.3023832232807466E-7</v>
      </c>
      <c r="D37" s="35">
        <f t="shared" si="2"/>
        <v>2.5460712432717979E-7</v>
      </c>
      <c r="E37" s="43">
        <f t="shared" si="2"/>
        <v>1.8431234148768693E-7</v>
      </c>
      <c r="F37" s="35">
        <f t="shared" si="2"/>
        <v>2.3682560855047256E-7</v>
      </c>
      <c r="G37" s="35">
        <f t="shared" si="2"/>
        <v>1.5586787736267747E-7</v>
      </c>
      <c r="H37" s="35">
        <f t="shared" si="2"/>
        <v>1.779468764019792E-7</v>
      </c>
      <c r="I37" s="35">
        <f t="shared" si="2"/>
        <v>1.7603105397410748E-7</v>
      </c>
      <c r="J37" s="35">
        <f t="shared" si="2"/>
        <v>2.0761439875469424E-7</v>
      </c>
      <c r="K37" s="35">
        <f t="shared" si="2"/>
        <v>1.8787918864193258E-7</v>
      </c>
      <c r="L37" s="35"/>
    </row>
    <row r="55" spans="1:13">
      <c r="A55" s="148" t="s">
        <v>70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</row>
    <row r="56" spans="1:13">
      <c r="A56" s="150" t="s">
        <v>25</v>
      </c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</row>
    <row r="57" spans="1:13" s="96" customFormat="1">
      <c r="A57" s="93"/>
      <c r="B57" s="132">
        <v>2008</v>
      </c>
      <c r="C57" s="132">
        <v>2009</v>
      </c>
      <c r="D57" s="132">
        <v>2010</v>
      </c>
      <c r="E57" s="132">
        <v>2011</v>
      </c>
      <c r="F57" s="132">
        <v>2012</v>
      </c>
      <c r="G57" s="132">
        <v>2013</v>
      </c>
      <c r="H57" s="132">
        <v>2014</v>
      </c>
      <c r="I57" s="132">
        <v>2015</v>
      </c>
      <c r="J57" s="132">
        <v>2016</v>
      </c>
      <c r="K57" s="132" t="s">
        <v>93</v>
      </c>
      <c r="L57" s="132" t="s">
        <v>114</v>
      </c>
    </row>
    <row r="58" spans="1:13">
      <c r="A58" s="75" t="s">
        <v>52</v>
      </c>
      <c r="B58" s="15">
        <v>14390583.327000003</v>
      </c>
      <c r="C58" s="15">
        <v>13836589.267000003</v>
      </c>
      <c r="D58" s="15">
        <v>16015791</v>
      </c>
      <c r="E58" s="15">
        <v>16270472</v>
      </c>
      <c r="F58" s="15">
        <v>16610988.550999999</v>
      </c>
      <c r="G58" s="15">
        <v>15764223.210000001</v>
      </c>
      <c r="H58" s="15">
        <v>14441635.593</v>
      </c>
      <c r="I58" s="15">
        <v>20214419.167999998</v>
      </c>
      <c r="J58" s="15">
        <v>18021167.798</v>
      </c>
      <c r="K58" s="15">
        <v>20922654.112999998</v>
      </c>
      <c r="L58" s="15">
        <f>L59+L60</f>
        <v>10410720.137999998</v>
      </c>
      <c r="M58" s="143"/>
    </row>
    <row r="59" spans="1:13">
      <c r="A59" s="21" t="s">
        <v>26</v>
      </c>
      <c r="B59" s="46">
        <v>4823879.3980000019</v>
      </c>
      <c r="C59" s="46">
        <v>3924323.4320000019</v>
      </c>
      <c r="D59" s="46">
        <v>5278918</v>
      </c>
      <c r="E59" s="46">
        <v>5135476</v>
      </c>
      <c r="F59" s="46">
        <v>5062616.8019999992</v>
      </c>
      <c r="G59" s="46">
        <v>5870482.0060000001</v>
      </c>
      <c r="H59" s="46">
        <v>5604899.4010000005</v>
      </c>
      <c r="I59" s="46">
        <v>9068608.1539999992</v>
      </c>
      <c r="J59" s="139">
        <v>8084141.9079999989</v>
      </c>
      <c r="K59" s="139">
        <v>9542656.6239999998</v>
      </c>
      <c r="L59" s="139">
        <f>'2018'!N131</f>
        <v>4380162.2419999987</v>
      </c>
      <c r="M59" s="143"/>
    </row>
    <row r="60" spans="1:13">
      <c r="A60" s="23" t="s">
        <v>27</v>
      </c>
      <c r="B60" s="46">
        <v>9566703.9290000014</v>
      </c>
      <c r="C60" s="46">
        <v>9912265.8350000009</v>
      </c>
      <c r="D60" s="46">
        <v>10736873</v>
      </c>
      <c r="E60" s="46">
        <v>11134996</v>
      </c>
      <c r="F60" s="46">
        <v>11548371.749</v>
      </c>
      <c r="G60" s="46">
        <v>9893741.2039999999</v>
      </c>
      <c r="H60" s="46">
        <v>8836736.1919999998</v>
      </c>
      <c r="I60" s="46">
        <v>11145811.014</v>
      </c>
      <c r="J60" s="139">
        <v>9937025.8900000006</v>
      </c>
      <c r="K60" s="139">
        <v>11379997.489</v>
      </c>
      <c r="L60" s="139">
        <f>'2018'!N109</f>
        <v>6030557.8959999997</v>
      </c>
      <c r="M60" s="143"/>
    </row>
    <row r="79" spans="1:12">
      <c r="A79" s="155" t="s">
        <v>83</v>
      </c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</row>
    <row r="80" spans="1:12">
      <c r="A80" s="154" t="s">
        <v>25</v>
      </c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</row>
    <row r="81" spans="1:13" s="96" customFormat="1">
      <c r="A81" s="93"/>
      <c r="B81" s="132">
        <v>2008</v>
      </c>
      <c r="C81" s="132">
        <v>2009</v>
      </c>
      <c r="D81" s="132">
        <v>2010</v>
      </c>
      <c r="E81" s="132">
        <v>2011</v>
      </c>
      <c r="F81" s="132">
        <v>2012</v>
      </c>
      <c r="G81" s="132">
        <v>2013</v>
      </c>
      <c r="H81" s="132">
        <v>2014</v>
      </c>
      <c r="I81" s="132">
        <v>2015</v>
      </c>
      <c r="J81" s="132">
        <v>2016</v>
      </c>
      <c r="K81" s="132">
        <v>2017</v>
      </c>
      <c r="L81" s="132" t="s">
        <v>114</v>
      </c>
    </row>
    <row r="82" spans="1:13">
      <c r="A82" s="19" t="s">
        <v>28</v>
      </c>
      <c r="B82" s="81">
        <v>448195951.94</v>
      </c>
      <c r="C82" s="81">
        <v>440937319.44999999</v>
      </c>
      <c r="D82" s="81">
        <v>499373528.73400003</v>
      </c>
      <c r="E82" s="46">
        <v>521673019.91799998</v>
      </c>
      <c r="F82" s="55">
        <v>525045393.528</v>
      </c>
      <c r="G82" s="24">
        <v>533541802.38800001</v>
      </c>
      <c r="H82" s="55">
        <v>454419789.23500001</v>
      </c>
      <c r="I82" s="24">
        <v>611465448.0150001</v>
      </c>
      <c r="J82" s="81">
        <v>620016772.85699999</v>
      </c>
      <c r="K82" s="81">
        <v>666729264.204</v>
      </c>
      <c r="L82" s="81">
        <f>'2018'!N108</f>
        <v>285439144.79699981</v>
      </c>
      <c r="M82" s="82"/>
    </row>
    <row r="83" spans="1:13">
      <c r="A83" s="18" t="s">
        <v>29</v>
      </c>
      <c r="B83" s="40">
        <v>9912265.8350000009</v>
      </c>
      <c r="C83" s="40">
        <v>10736873</v>
      </c>
      <c r="D83" s="40">
        <v>10736873</v>
      </c>
      <c r="E83" s="40">
        <v>11134996.155999999</v>
      </c>
      <c r="F83" s="40">
        <v>11528371.686999999</v>
      </c>
      <c r="G83" s="40">
        <v>9893741.2039999999</v>
      </c>
      <c r="H83" s="40">
        <v>8836736.1919999998</v>
      </c>
      <c r="I83" s="40">
        <v>11145811.014</v>
      </c>
      <c r="J83" s="40">
        <v>9937025.8900000006</v>
      </c>
      <c r="K83" s="40">
        <v>11379997.489</v>
      </c>
      <c r="L83" s="40">
        <f>'2018'!N109</f>
        <v>6030557.8959999997</v>
      </c>
    </row>
    <row r="84" spans="1:13">
      <c r="A84" s="115" t="s">
        <v>39</v>
      </c>
      <c r="B84" s="25">
        <v>2.2115920039204096E-2</v>
      </c>
      <c r="C84" s="25">
        <v>2.4350111742395861E-2</v>
      </c>
      <c r="D84" s="25">
        <v>2.1500685122857566E-2</v>
      </c>
      <c r="E84" s="25">
        <v>2.1344780601746036E-2</v>
      </c>
      <c r="F84" s="25">
        <v>2.1956904734533596E-2</v>
      </c>
      <c r="G84" s="25">
        <v>1.8543516477468273E-2</v>
      </c>
      <c r="H84" s="25">
        <v>1.944619578930825E-2</v>
      </c>
      <c r="I84" s="25">
        <v>1.8228030790918177E-2</v>
      </c>
      <c r="J84" s="25">
        <v>1.6027027533804906E-2</v>
      </c>
      <c r="K84" s="25">
        <v>1.7068393574394009E-2</v>
      </c>
      <c r="L84" s="25">
        <f>L83/L82</f>
        <v>2.1127298080607849E-2</v>
      </c>
      <c r="M84" s="42"/>
    </row>
    <row r="101" spans="1:13">
      <c r="A101" s="155" t="s">
        <v>84</v>
      </c>
      <c r="B101" s="155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</row>
    <row r="102" spans="1:13">
      <c r="A102" s="154" t="s">
        <v>25</v>
      </c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</row>
    <row r="103" spans="1:13" s="96" customFormat="1">
      <c r="A103" s="93"/>
      <c r="B103" s="132">
        <v>2008</v>
      </c>
      <c r="C103" s="132">
        <v>2009</v>
      </c>
      <c r="D103" s="132">
        <v>2010</v>
      </c>
      <c r="E103" s="132">
        <v>2011</v>
      </c>
      <c r="F103" s="132">
        <v>2012</v>
      </c>
      <c r="G103" s="132">
        <v>2013</v>
      </c>
      <c r="H103" s="132">
        <v>2014</v>
      </c>
      <c r="I103" s="132">
        <v>2015</v>
      </c>
      <c r="J103" s="132">
        <v>2016</v>
      </c>
      <c r="K103" s="132">
        <v>2017</v>
      </c>
      <c r="L103" s="132" t="s">
        <v>114</v>
      </c>
    </row>
    <row r="104" spans="1:13">
      <c r="A104" s="19" t="s">
        <v>28</v>
      </c>
      <c r="B104" s="40">
        <v>108216098.55500001</v>
      </c>
      <c r="C104" s="55">
        <v>89198206.232999995</v>
      </c>
      <c r="D104" s="81">
        <v>121727473.287</v>
      </c>
      <c r="E104" s="55">
        <v>131882309.285</v>
      </c>
      <c r="F104" s="81">
        <v>126793913.84200002</v>
      </c>
      <c r="G104" s="40">
        <v>143609584.29899999</v>
      </c>
      <c r="H104" s="55">
        <v>124356230.325</v>
      </c>
      <c r="I104" s="40">
        <v>131680487.95200001</v>
      </c>
      <c r="J104" s="40">
        <v>124431822.56299998</v>
      </c>
      <c r="K104" s="40">
        <v>136223579.78300002</v>
      </c>
      <c r="L104" s="81">
        <f>'2018'!N130</f>
        <v>76041772.993000135</v>
      </c>
    </row>
    <row r="105" spans="1:13" ht="15" customHeight="1">
      <c r="A105" s="18" t="s">
        <v>29</v>
      </c>
      <c r="B105" s="40">
        <v>3924323.4320000019</v>
      </c>
      <c r="C105" s="40">
        <v>5278918</v>
      </c>
      <c r="D105" s="40">
        <v>5278918</v>
      </c>
      <c r="E105" s="40">
        <v>5135475.3320000004</v>
      </c>
      <c r="F105" s="40">
        <v>5062617.2319999989</v>
      </c>
      <c r="G105" s="40">
        <v>5870482.0060000001</v>
      </c>
      <c r="H105" s="40">
        <v>5604899.4010000005</v>
      </c>
      <c r="I105" s="40">
        <v>9068608.1539999992</v>
      </c>
      <c r="J105" s="40">
        <v>8478674.0329999998</v>
      </c>
      <c r="K105" s="40">
        <v>9542656.6239999998</v>
      </c>
      <c r="L105" s="40">
        <f>'2018'!N131</f>
        <v>4380162.2419999987</v>
      </c>
    </row>
    <row r="106" spans="1:13">
      <c r="A106" s="115" t="s">
        <v>39</v>
      </c>
      <c r="B106" s="25">
        <v>3.626376744681379E-2</v>
      </c>
      <c r="C106" s="25">
        <v>5.9181885185119319E-2</v>
      </c>
      <c r="D106" s="25">
        <v>4.3366693298182234E-2</v>
      </c>
      <c r="E106" s="25">
        <v>3.8939834765117344E-2</v>
      </c>
      <c r="F106" s="25">
        <v>3.992791987089072E-2</v>
      </c>
      <c r="G106" s="25">
        <v>4.0878065587721911E-2</v>
      </c>
      <c r="H106" s="25">
        <v>4.5071319598156211E-2</v>
      </c>
      <c r="I106" s="25">
        <v>6.8868275741092916E-2</v>
      </c>
      <c r="J106" s="25">
        <v>6.8139113117203096E-2</v>
      </c>
      <c r="K106" s="25">
        <v>7.0051430443988913E-2</v>
      </c>
      <c r="L106" s="25">
        <f>L105/L104</f>
        <v>5.760205305054112E-2</v>
      </c>
      <c r="M106" s="42"/>
    </row>
    <row r="124" spans="1:12">
      <c r="A124" t="s">
        <v>21</v>
      </c>
    </row>
    <row r="126" spans="1:12">
      <c r="A126" s="152" t="s">
        <v>85</v>
      </c>
      <c r="B126" s="152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</row>
    <row r="127" spans="1:12">
      <c r="A127" s="153" t="s">
        <v>25</v>
      </c>
      <c r="B127" s="153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</row>
    <row r="128" spans="1:12">
      <c r="A128" s="103"/>
      <c r="B128" s="132">
        <v>2008</v>
      </c>
      <c r="C128" s="132">
        <v>2009</v>
      </c>
      <c r="D128" s="132">
        <v>2010</v>
      </c>
      <c r="E128" s="132">
        <v>2011</v>
      </c>
      <c r="F128" s="132">
        <v>2012</v>
      </c>
      <c r="G128" s="132">
        <v>2013</v>
      </c>
      <c r="H128" s="132">
        <v>2014</v>
      </c>
      <c r="I128" s="132">
        <v>2015</v>
      </c>
      <c r="J128" s="132">
        <v>2016</v>
      </c>
      <c r="K128" s="132">
        <v>2017</v>
      </c>
      <c r="L128" s="132" t="s">
        <v>114</v>
      </c>
    </row>
    <row r="129" spans="1:13">
      <c r="A129" s="19" t="s">
        <v>28</v>
      </c>
      <c r="B129" s="102">
        <v>547480423.01800001</v>
      </c>
      <c r="C129" s="102">
        <v>556412050.495</v>
      </c>
      <c r="D129" s="102">
        <v>530135525.68299997</v>
      </c>
      <c r="E129" s="102">
        <v>621101002.02100003</v>
      </c>
      <c r="F129" s="102">
        <v>653555329.20299995</v>
      </c>
      <c r="G129" s="102">
        <v>651839307.37</v>
      </c>
      <c r="H129" s="102">
        <v>677151386.68700004</v>
      </c>
      <c r="I129" s="102">
        <v>578776019.56000006</v>
      </c>
      <c r="J129" s="102">
        <v>743145935.96700013</v>
      </c>
      <c r="K129" s="102">
        <f>K104+K82</f>
        <v>802952843.98699999</v>
      </c>
      <c r="L129" s="102">
        <f>L104+L82</f>
        <v>361480917.78999996</v>
      </c>
      <c r="M129" s="91"/>
    </row>
    <row r="130" spans="1:13">
      <c r="A130" s="18" t="s">
        <v>29</v>
      </c>
      <c r="B130" s="117">
        <v>13666093.534999995</v>
      </c>
      <c r="C130" s="117">
        <v>14390583.327000003</v>
      </c>
      <c r="D130" s="117">
        <v>13836589.267000003</v>
      </c>
      <c r="E130" s="117">
        <v>16015791</v>
      </c>
      <c r="F130" s="117">
        <v>16270472</v>
      </c>
      <c r="G130" s="117">
        <v>16610988.550999999</v>
      </c>
      <c r="H130" s="117">
        <v>15764223.210000001</v>
      </c>
      <c r="I130" s="117">
        <v>14441635.593</v>
      </c>
      <c r="J130" s="117">
        <v>20214419.168000001</v>
      </c>
      <c r="K130" s="117">
        <f>K105+K83</f>
        <v>20922654.112999998</v>
      </c>
      <c r="L130" s="117">
        <f>L105+L83</f>
        <v>10410720.137999998</v>
      </c>
      <c r="M130" s="91"/>
    </row>
    <row r="131" spans="1:13">
      <c r="A131" s="115" t="s">
        <v>39</v>
      </c>
      <c r="B131" s="119">
        <v>2.4961793993774791E-2</v>
      </c>
      <c r="C131" s="119">
        <v>2.5863176964261884E-2</v>
      </c>
      <c r="D131" s="119">
        <v>2.6100098176166625E-2</v>
      </c>
      <c r="E131" s="119">
        <v>2.578612970818954E-2</v>
      </c>
      <c r="F131" s="119">
        <v>2.4895324501204168E-2</v>
      </c>
      <c r="G131" s="119">
        <v>2.5483256936469457E-2</v>
      </c>
      <c r="H131" s="119">
        <v>2.3280205165239813E-2</v>
      </c>
      <c r="I131" s="119">
        <v>2.4952028254347669E-2</v>
      </c>
      <c r="J131" s="119">
        <v>2.7201143395471163E-2</v>
      </c>
      <c r="K131" s="119">
        <f>K130/K129</f>
        <v>2.6057139307347345E-2</v>
      </c>
      <c r="L131" s="119">
        <f>L130/L129</f>
        <v>2.8800192833548243E-2</v>
      </c>
    </row>
    <row r="132" spans="1:13" ht="15" customHeight="1">
      <c r="A132" s="68"/>
      <c r="B132" s="70"/>
      <c r="C132" s="70"/>
      <c r="D132" s="70"/>
      <c r="E132" s="70"/>
      <c r="F132" s="70"/>
      <c r="G132" s="70"/>
      <c r="H132" s="70"/>
      <c r="I132" s="70"/>
      <c r="J132" s="86"/>
      <c r="K132" s="88"/>
      <c r="L132" s="70"/>
    </row>
    <row r="133" spans="1:13">
      <c r="A133" s="68"/>
      <c r="B133" s="73"/>
      <c r="C133" s="73"/>
      <c r="D133" s="73"/>
      <c r="E133" s="73"/>
      <c r="F133" s="73"/>
      <c r="G133" s="73"/>
      <c r="H133" s="73"/>
      <c r="I133" s="73"/>
      <c r="J133" s="89"/>
      <c r="K133" s="88"/>
      <c r="L133" s="73"/>
      <c r="M133" s="42"/>
    </row>
    <row r="134" spans="1:13">
      <c r="K134" s="87"/>
    </row>
    <row r="135" spans="1:13">
      <c r="B135" s="48"/>
      <c r="C135" s="48"/>
      <c r="D135" s="48"/>
      <c r="E135" s="48"/>
    </row>
    <row r="136" spans="1:13">
      <c r="B136" s="55"/>
      <c r="C136" s="55"/>
      <c r="D136" s="55"/>
      <c r="E136" s="55"/>
    </row>
    <row r="137" spans="1:13">
      <c r="B137" s="55"/>
      <c r="C137" s="55"/>
      <c r="D137" s="55"/>
      <c r="E137" s="55"/>
    </row>
    <row r="138" spans="1:13">
      <c r="B138" s="55"/>
      <c r="C138" s="55"/>
      <c r="D138" s="55"/>
      <c r="E138" s="55"/>
    </row>
    <row r="139" spans="1:13">
      <c r="B139" s="55"/>
      <c r="C139" s="55"/>
      <c r="D139" s="55"/>
      <c r="E139" s="55"/>
    </row>
    <row r="140" spans="1:13">
      <c r="B140" s="55"/>
      <c r="C140" s="55"/>
      <c r="D140" s="55"/>
      <c r="E140" s="55"/>
    </row>
    <row r="141" spans="1:13">
      <c r="B141" s="55"/>
      <c r="C141" s="55"/>
      <c r="D141" s="55"/>
      <c r="E141" s="55"/>
    </row>
    <row r="142" spans="1:13">
      <c r="B142" s="55"/>
      <c r="C142" s="55"/>
      <c r="D142" s="55"/>
      <c r="E142" s="55"/>
    </row>
    <row r="143" spans="1:13">
      <c r="B143" s="55"/>
      <c r="C143" s="55"/>
      <c r="D143" s="55"/>
      <c r="E143" s="55"/>
    </row>
    <row r="144" spans="1:13">
      <c r="B144" s="55"/>
      <c r="C144" s="55"/>
      <c r="D144" s="55"/>
      <c r="E144" s="55"/>
    </row>
    <row r="145" spans="1:13">
      <c r="B145" s="55"/>
      <c r="C145" s="55"/>
      <c r="D145" s="55"/>
      <c r="E145" s="55"/>
    </row>
    <row r="150" spans="1:13">
      <c r="A150" s="161"/>
      <c r="B150" s="161"/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</row>
    <row r="151" spans="1:13">
      <c r="A151" s="161"/>
      <c r="B151" s="161"/>
      <c r="C151" s="161"/>
      <c r="D151" s="161"/>
      <c r="E151" s="161"/>
      <c r="F151" s="161"/>
      <c r="G151" s="161"/>
      <c r="H151" s="161"/>
      <c r="I151" s="161"/>
      <c r="J151" s="161"/>
      <c r="K151" s="161"/>
      <c r="L151" s="161"/>
    </row>
    <row r="152" spans="1:13">
      <c r="A152" s="131" t="s">
        <v>122</v>
      </c>
      <c r="B152" s="128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</row>
    <row r="153" spans="1:13" ht="15" customHeight="1">
      <c r="A153" s="68" t="s">
        <v>71</v>
      </c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</row>
    <row r="154" spans="1:13">
      <c r="A154" s="68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42"/>
    </row>
    <row r="157" spans="1:13">
      <c r="B157" s="55"/>
      <c r="C157" s="55"/>
      <c r="D157" s="55"/>
      <c r="E157" s="55"/>
    </row>
    <row r="158" spans="1:13">
      <c r="A158" s="68"/>
      <c r="B158" s="70"/>
      <c r="C158" s="70"/>
      <c r="D158" s="70"/>
      <c r="E158" s="70"/>
    </row>
    <row r="159" spans="1:13">
      <c r="B159" s="55"/>
      <c r="C159" s="55"/>
      <c r="D159" s="55"/>
      <c r="E159" s="55"/>
    </row>
    <row r="160" spans="1:13">
      <c r="B160" s="55"/>
      <c r="C160" s="55"/>
      <c r="D160" s="55"/>
      <c r="E160" s="55"/>
    </row>
  </sheetData>
  <mergeCells count="18">
    <mergeCell ref="A151:L151"/>
    <mergeCell ref="A30:L30"/>
    <mergeCell ref="A31:L31"/>
    <mergeCell ref="A55:L55"/>
    <mergeCell ref="A56:L56"/>
    <mergeCell ref="A79:L79"/>
    <mergeCell ref="A80:L80"/>
    <mergeCell ref="A101:L101"/>
    <mergeCell ref="A102:L102"/>
    <mergeCell ref="A126:L126"/>
    <mergeCell ref="A127:L127"/>
    <mergeCell ref="A150:L150"/>
    <mergeCell ref="A29:L29"/>
    <mergeCell ref="A1:L1"/>
    <mergeCell ref="A2:L2"/>
    <mergeCell ref="A3:L3"/>
    <mergeCell ref="A4:L4"/>
    <mergeCell ref="A28:L2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workbookViewId="0">
      <selection activeCell="H32" sqref="H32"/>
    </sheetView>
  </sheetViews>
  <sheetFormatPr defaultRowHeight="15"/>
  <cols>
    <col min="1" max="1" width="16.85546875" customWidth="1"/>
    <col min="2" max="2" width="22.5703125" customWidth="1"/>
    <col min="3" max="3" width="23.42578125" customWidth="1"/>
    <col min="4" max="4" width="26" customWidth="1"/>
    <col min="5" max="5" width="19.5703125" customWidth="1"/>
    <col min="6" max="6" width="21.85546875" customWidth="1"/>
    <col min="7" max="7" width="21.42578125" customWidth="1"/>
    <col min="8" max="11" width="13.42578125" bestFit="1" customWidth="1"/>
    <col min="12" max="12" width="13.28515625" customWidth="1"/>
    <col min="13" max="13" width="13.28515625" hidden="1" customWidth="1"/>
    <col min="14" max="14" width="13.140625" hidden="1" customWidth="1"/>
    <col min="15" max="15" width="12" hidden="1" customWidth="1"/>
    <col min="257" max="257" width="16.85546875" customWidth="1"/>
    <col min="258" max="258" width="26.7109375" customWidth="1"/>
    <col min="259" max="259" width="25.28515625" customWidth="1"/>
    <col min="260" max="260" width="33.28515625" customWidth="1"/>
    <col min="261" max="261" width="25.42578125" customWidth="1"/>
    <col min="262" max="262" width="26.85546875" customWidth="1"/>
    <col min="263" max="267" width="13.42578125" bestFit="1" customWidth="1"/>
    <col min="268" max="268" width="13.28515625" customWidth="1"/>
    <col min="269" max="271" width="0" hidden="1" customWidth="1"/>
    <col min="513" max="513" width="16.85546875" customWidth="1"/>
    <col min="514" max="514" width="26.7109375" customWidth="1"/>
    <col min="515" max="515" width="25.28515625" customWidth="1"/>
    <col min="516" max="516" width="33.28515625" customWidth="1"/>
    <col min="517" max="517" width="25.42578125" customWidth="1"/>
    <col min="518" max="518" width="26.85546875" customWidth="1"/>
    <col min="519" max="523" width="13.42578125" bestFit="1" customWidth="1"/>
    <col min="524" max="524" width="13.28515625" customWidth="1"/>
    <col min="525" max="527" width="0" hidden="1" customWidth="1"/>
    <col min="769" max="769" width="16.85546875" customWidth="1"/>
    <col min="770" max="770" width="26.7109375" customWidth="1"/>
    <col min="771" max="771" width="25.28515625" customWidth="1"/>
    <col min="772" max="772" width="33.28515625" customWidth="1"/>
    <col min="773" max="773" width="25.42578125" customWidth="1"/>
    <col min="774" max="774" width="26.85546875" customWidth="1"/>
    <col min="775" max="779" width="13.42578125" bestFit="1" customWidth="1"/>
    <col min="780" max="780" width="13.28515625" customWidth="1"/>
    <col min="781" max="783" width="0" hidden="1" customWidth="1"/>
    <col min="1025" max="1025" width="16.85546875" customWidth="1"/>
    <col min="1026" max="1026" width="26.7109375" customWidth="1"/>
    <col min="1027" max="1027" width="25.28515625" customWidth="1"/>
    <col min="1028" max="1028" width="33.28515625" customWidth="1"/>
    <col min="1029" max="1029" width="25.42578125" customWidth="1"/>
    <col min="1030" max="1030" width="26.85546875" customWidth="1"/>
    <col min="1031" max="1035" width="13.42578125" bestFit="1" customWidth="1"/>
    <col min="1036" max="1036" width="13.28515625" customWidth="1"/>
    <col min="1037" max="1039" width="0" hidden="1" customWidth="1"/>
    <col min="1281" max="1281" width="16.85546875" customWidth="1"/>
    <col min="1282" max="1282" width="26.7109375" customWidth="1"/>
    <col min="1283" max="1283" width="25.28515625" customWidth="1"/>
    <col min="1284" max="1284" width="33.28515625" customWidth="1"/>
    <col min="1285" max="1285" width="25.42578125" customWidth="1"/>
    <col min="1286" max="1286" width="26.85546875" customWidth="1"/>
    <col min="1287" max="1291" width="13.42578125" bestFit="1" customWidth="1"/>
    <col min="1292" max="1292" width="13.28515625" customWidth="1"/>
    <col min="1293" max="1295" width="0" hidden="1" customWidth="1"/>
    <col min="1537" max="1537" width="16.85546875" customWidth="1"/>
    <col min="1538" max="1538" width="26.7109375" customWidth="1"/>
    <col min="1539" max="1539" width="25.28515625" customWidth="1"/>
    <col min="1540" max="1540" width="33.28515625" customWidth="1"/>
    <col min="1541" max="1541" width="25.42578125" customWidth="1"/>
    <col min="1542" max="1542" width="26.85546875" customWidth="1"/>
    <col min="1543" max="1547" width="13.42578125" bestFit="1" customWidth="1"/>
    <col min="1548" max="1548" width="13.28515625" customWidth="1"/>
    <col min="1549" max="1551" width="0" hidden="1" customWidth="1"/>
    <col min="1793" max="1793" width="16.85546875" customWidth="1"/>
    <col min="1794" max="1794" width="26.7109375" customWidth="1"/>
    <col min="1795" max="1795" width="25.28515625" customWidth="1"/>
    <col min="1796" max="1796" width="33.28515625" customWidth="1"/>
    <col min="1797" max="1797" width="25.42578125" customWidth="1"/>
    <col min="1798" max="1798" width="26.85546875" customWidth="1"/>
    <col min="1799" max="1803" width="13.42578125" bestFit="1" customWidth="1"/>
    <col min="1804" max="1804" width="13.28515625" customWidth="1"/>
    <col min="1805" max="1807" width="0" hidden="1" customWidth="1"/>
    <col min="2049" max="2049" width="16.85546875" customWidth="1"/>
    <col min="2050" max="2050" width="26.7109375" customWidth="1"/>
    <col min="2051" max="2051" width="25.28515625" customWidth="1"/>
    <col min="2052" max="2052" width="33.28515625" customWidth="1"/>
    <col min="2053" max="2053" width="25.42578125" customWidth="1"/>
    <col min="2054" max="2054" width="26.85546875" customWidth="1"/>
    <col min="2055" max="2059" width="13.42578125" bestFit="1" customWidth="1"/>
    <col min="2060" max="2060" width="13.28515625" customWidth="1"/>
    <col min="2061" max="2063" width="0" hidden="1" customWidth="1"/>
    <col min="2305" max="2305" width="16.85546875" customWidth="1"/>
    <col min="2306" max="2306" width="26.7109375" customWidth="1"/>
    <col min="2307" max="2307" width="25.28515625" customWidth="1"/>
    <col min="2308" max="2308" width="33.28515625" customWidth="1"/>
    <col min="2309" max="2309" width="25.42578125" customWidth="1"/>
    <col min="2310" max="2310" width="26.85546875" customWidth="1"/>
    <col min="2311" max="2315" width="13.42578125" bestFit="1" customWidth="1"/>
    <col min="2316" max="2316" width="13.28515625" customWidth="1"/>
    <col min="2317" max="2319" width="0" hidden="1" customWidth="1"/>
    <col min="2561" max="2561" width="16.85546875" customWidth="1"/>
    <col min="2562" max="2562" width="26.7109375" customWidth="1"/>
    <col min="2563" max="2563" width="25.28515625" customWidth="1"/>
    <col min="2564" max="2564" width="33.28515625" customWidth="1"/>
    <col min="2565" max="2565" width="25.42578125" customWidth="1"/>
    <col min="2566" max="2566" width="26.85546875" customWidth="1"/>
    <col min="2567" max="2571" width="13.42578125" bestFit="1" customWidth="1"/>
    <col min="2572" max="2572" width="13.28515625" customWidth="1"/>
    <col min="2573" max="2575" width="0" hidden="1" customWidth="1"/>
    <col min="2817" max="2817" width="16.85546875" customWidth="1"/>
    <col min="2818" max="2818" width="26.7109375" customWidth="1"/>
    <col min="2819" max="2819" width="25.28515625" customWidth="1"/>
    <col min="2820" max="2820" width="33.28515625" customWidth="1"/>
    <col min="2821" max="2821" width="25.42578125" customWidth="1"/>
    <col min="2822" max="2822" width="26.85546875" customWidth="1"/>
    <col min="2823" max="2827" width="13.42578125" bestFit="1" customWidth="1"/>
    <col min="2828" max="2828" width="13.28515625" customWidth="1"/>
    <col min="2829" max="2831" width="0" hidden="1" customWidth="1"/>
    <col min="3073" max="3073" width="16.85546875" customWidth="1"/>
    <col min="3074" max="3074" width="26.7109375" customWidth="1"/>
    <col min="3075" max="3075" width="25.28515625" customWidth="1"/>
    <col min="3076" max="3076" width="33.28515625" customWidth="1"/>
    <col min="3077" max="3077" width="25.42578125" customWidth="1"/>
    <col min="3078" max="3078" width="26.85546875" customWidth="1"/>
    <col min="3079" max="3083" width="13.42578125" bestFit="1" customWidth="1"/>
    <col min="3084" max="3084" width="13.28515625" customWidth="1"/>
    <col min="3085" max="3087" width="0" hidden="1" customWidth="1"/>
    <col min="3329" max="3329" width="16.85546875" customWidth="1"/>
    <col min="3330" max="3330" width="26.7109375" customWidth="1"/>
    <col min="3331" max="3331" width="25.28515625" customWidth="1"/>
    <col min="3332" max="3332" width="33.28515625" customWidth="1"/>
    <col min="3333" max="3333" width="25.42578125" customWidth="1"/>
    <col min="3334" max="3334" width="26.85546875" customWidth="1"/>
    <col min="3335" max="3339" width="13.42578125" bestFit="1" customWidth="1"/>
    <col min="3340" max="3340" width="13.28515625" customWidth="1"/>
    <col min="3341" max="3343" width="0" hidden="1" customWidth="1"/>
    <col min="3585" max="3585" width="16.85546875" customWidth="1"/>
    <col min="3586" max="3586" width="26.7109375" customWidth="1"/>
    <col min="3587" max="3587" width="25.28515625" customWidth="1"/>
    <col min="3588" max="3588" width="33.28515625" customWidth="1"/>
    <col min="3589" max="3589" width="25.42578125" customWidth="1"/>
    <col min="3590" max="3590" width="26.85546875" customWidth="1"/>
    <col min="3591" max="3595" width="13.42578125" bestFit="1" customWidth="1"/>
    <col min="3596" max="3596" width="13.28515625" customWidth="1"/>
    <col min="3597" max="3599" width="0" hidden="1" customWidth="1"/>
    <col min="3841" max="3841" width="16.85546875" customWidth="1"/>
    <col min="3842" max="3842" width="26.7109375" customWidth="1"/>
    <col min="3843" max="3843" width="25.28515625" customWidth="1"/>
    <col min="3844" max="3844" width="33.28515625" customWidth="1"/>
    <col min="3845" max="3845" width="25.42578125" customWidth="1"/>
    <col min="3846" max="3846" width="26.85546875" customWidth="1"/>
    <col min="3847" max="3851" width="13.42578125" bestFit="1" customWidth="1"/>
    <col min="3852" max="3852" width="13.28515625" customWidth="1"/>
    <col min="3853" max="3855" width="0" hidden="1" customWidth="1"/>
    <col min="4097" max="4097" width="16.85546875" customWidth="1"/>
    <col min="4098" max="4098" width="26.7109375" customWidth="1"/>
    <col min="4099" max="4099" width="25.28515625" customWidth="1"/>
    <col min="4100" max="4100" width="33.28515625" customWidth="1"/>
    <col min="4101" max="4101" width="25.42578125" customWidth="1"/>
    <col min="4102" max="4102" width="26.85546875" customWidth="1"/>
    <col min="4103" max="4107" width="13.42578125" bestFit="1" customWidth="1"/>
    <col min="4108" max="4108" width="13.28515625" customWidth="1"/>
    <col min="4109" max="4111" width="0" hidden="1" customWidth="1"/>
    <col min="4353" max="4353" width="16.85546875" customWidth="1"/>
    <col min="4354" max="4354" width="26.7109375" customWidth="1"/>
    <col min="4355" max="4355" width="25.28515625" customWidth="1"/>
    <col min="4356" max="4356" width="33.28515625" customWidth="1"/>
    <col min="4357" max="4357" width="25.42578125" customWidth="1"/>
    <col min="4358" max="4358" width="26.85546875" customWidth="1"/>
    <col min="4359" max="4363" width="13.42578125" bestFit="1" customWidth="1"/>
    <col min="4364" max="4364" width="13.28515625" customWidth="1"/>
    <col min="4365" max="4367" width="0" hidden="1" customWidth="1"/>
    <col min="4609" max="4609" width="16.85546875" customWidth="1"/>
    <col min="4610" max="4610" width="26.7109375" customWidth="1"/>
    <col min="4611" max="4611" width="25.28515625" customWidth="1"/>
    <col min="4612" max="4612" width="33.28515625" customWidth="1"/>
    <col min="4613" max="4613" width="25.42578125" customWidth="1"/>
    <col min="4614" max="4614" width="26.85546875" customWidth="1"/>
    <col min="4615" max="4619" width="13.42578125" bestFit="1" customWidth="1"/>
    <col min="4620" max="4620" width="13.28515625" customWidth="1"/>
    <col min="4621" max="4623" width="0" hidden="1" customWidth="1"/>
    <col min="4865" max="4865" width="16.85546875" customWidth="1"/>
    <col min="4866" max="4866" width="26.7109375" customWidth="1"/>
    <col min="4867" max="4867" width="25.28515625" customWidth="1"/>
    <col min="4868" max="4868" width="33.28515625" customWidth="1"/>
    <col min="4869" max="4869" width="25.42578125" customWidth="1"/>
    <col min="4870" max="4870" width="26.85546875" customWidth="1"/>
    <col min="4871" max="4875" width="13.42578125" bestFit="1" customWidth="1"/>
    <col min="4876" max="4876" width="13.28515625" customWidth="1"/>
    <col min="4877" max="4879" width="0" hidden="1" customWidth="1"/>
    <col min="5121" max="5121" width="16.85546875" customWidth="1"/>
    <col min="5122" max="5122" width="26.7109375" customWidth="1"/>
    <col min="5123" max="5123" width="25.28515625" customWidth="1"/>
    <col min="5124" max="5124" width="33.28515625" customWidth="1"/>
    <col min="5125" max="5125" width="25.42578125" customWidth="1"/>
    <col min="5126" max="5126" width="26.85546875" customWidth="1"/>
    <col min="5127" max="5131" width="13.42578125" bestFit="1" customWidth="1"/>
    <col min="5132" max="5132" width="13.28515625" customWidth="1"/>
    <col min="5133" max="5135" width="0" hidden="1" customWidth="1"/>
    <col min="5377" max="5377" width="16.85546875" customWidth="1"/>
    <col min="5378" max="5378" width="26.7109375" customWidth="1"/>
    <col min="5379" max="5379" width="25.28515625" customWidth="1"/>
    <col min="5380" max="5380" width="33.28515625" customWidth="1"/>
    <col min="5381" max="5381" width="25.42578125" customWidth="1"/>
    <col min="5382" max="5382" width="26.85546875" customWidth="1"/>
    <col min="5383" max="5387" width="13.42578125" bestFit="1" customWidth="1"/>
    <col min="5388" max="5388" width="13.28515625" customWidth="1"/>
    <col min="5389" max="5391" width="0" hidden="1" customWidth="1"/>
    <col min="5633" max="5633" width="16.85546875" customWidth="1"/>
    <col min="5634" max="5634" width="26.7109375" customWidth="1"/>
    <col min="5635" max="5635" width="25.28515625" customWidth="1"/>
    <col min="5636" max="5636" width="33.28515625" customWidth="1"/>
    <col min="5637" max="5637" width="25.42578125" customWidth="1"/>
    <col min="5638" max="5638" width="26.85546875" customWidth="1"/>
    <col min="5639" max="5643" width="13.42578125" bestFit="1" customWidth="1"/>
    <col min="5644" max="5644" width="13.28515625" customWidth="1"/>
    <col min="5645" max="5647" width="0" hidden="1" customWidth="1"/>
    <col min="5889" max="5889" width="16.85546875" customWidth="1"/>
    <col min="5890" max="5890" width="26.7109375" customWidth="1"/>
    <col min="5891" max="5891" width="25.28515625" customWidth="1"/>
    <col min="5892" max="5892" width="33.28515625" customWidth="1"/>
    <col min="5893" max="5893" width="25.42578125" customWidth="1"/>
    <col min="5894" max="5894" width="26.85546875" customWidth="1"/>
    <col min="5895" max="5899" width="13.42578125" bestFit="1" customWidth="1"/>
    <col min="5900" max="5900" width="13.28515625" customWidth="1"/>
    <col min="5901" max="5903" width="0" hidden="1" customWidth="1"/>
    <col min="6145" max="6145" width="16.85546875" customWidth="1"/>
    <col min="6146" max="6146" width="26.7109375" customWidth="1"/>
    <col min="6147" max="6147" width="25.28515625" customWidth="1"/>
    <col min="6148" max="6148" width="33.28515625" customWidth="1"/>
    <col min="6149" max="6149" width="25.42578125" customWidth="1"/>
    <col min="6150" max="6150" width="26.85546875" customWidth="1"/>
    <col min="6151" max="6155" width="13.42578125" bestFit="1" customWidth="1"/>
    <col min="6156" max="6156" width="13.28515625" customWidth="1"/>
    <col min="6157" max="6159" width="0" hidden="1" customWidth="1"/>
    <col min="6401" max="6401" width="16.85546875" customWidth="1"/>
    <col min="6402" max="6402" width="26.7109375" customWidth="1"/>
    <col min="6403" max="6403" width="25.28515625" customWidth="1"/>
    <col min="6404" max="6404" width="33.28515625" customWidth="1"/>
    <col min="6405" max="6405" width="25.42578125" customWidth="1"/>
    <col min="6406" max="6406" width="26.85546875" customWidth="1"/>
    <col min="6407" max="6411" width="13.42578125" bestFit="1" customWidth="1"/>
    <col min="6412" max="6412" width="13.28515625" customWidth="1"/>
    <col min="6413" max="6415" width="0" hidden="1" customWidth="1"/>
    <col min="6657" max="6657" width="16.85546875" customWidth="1"/>
    <col min="6658" max="6658" width="26.7109375" customWidth="1"/>
    <col min="6659" max="6659" width="25.28515625" customWidth="1"/>
    <col min="6660" max="6660" width="33.28515625" customWidth="1"/>
    <col min="6661" max="6661" width="25.42578125" customWidth="1"/>
    <col min="6662" max="6662" width="26.85546875" customWidth="1"/>
    <col min="6663" max="6667" width="13.42578125" bestFit="1" customWidth="1"/>
    <col min="6668" max="6668" width="13.28515625" customWidth="1"/>
    <col min="6669" max="6671" width="0" hidden="1" customWidth="1"/>
    <col min="6913" max="6913" width="16.85546875" customWidth="1"/>
    <col min="6914" max="6914" width="26.7109375" customWidth="1"/>
    <col min="6915" max="6915" width="25.28515625" customWidth="1"/>
    <col min="6916" max="6916" width="33.28515625" customWidth="1"/>
    <col min="6917" max="6917" width="25.42578125" customWidth="1"/>
    <col min="6918" max="6918" width="26.85546875" customWidth="1"/>
    <col min="6919" max="6923" width="13.42578125" bestFit="1" customWidth="1"/>
    <col min="6924" max="6924" width="13.28515625" customWidth="1"/>
    <col min="6925" max="6927" width="0" hidden="1" customWidth="1"/>
    <col min="7169" max="7169" width="16.85546875" customWidth="1"/>
    <col min="7170" max="7170" width="26.7109375" customWidth="1"/>
    <col min="7171" max="7171" width="25.28515625" customWidth="1"/>
    <col min="7172" max="7172" width="33.28515625" customWidth="1"/>
    <col min="7173" max="7173" width="25.42578125" customWidth="1"/>
    <col min="7174" max="7174" width="26.85546875" customWidth="1"/>
    <col min="7175" max="7179" width="13.42578125" bestFit="1" customWidth="1"/>
    <col min="7180" max="7180" width="13.28515625" customWidth="1"/>
    <col min="7181" max="7183" width="0" hidden="1" customWidth="1"/>
    <col min="7425" max="7425" width="16.85546875" customWidth="1"/>
    <col min="7426" max="7426" width="26.7109375" customWidth="1"/>
    <col min="7427" max="7427" width="25.28515625" customWidth="1"/>
    <col min="7428" max="7428" width="33.28515625" customWidth="1"/>
    <col min="7429" max="7429" width="25.42578125" customWidth="1"/>
    <col min="7430" max="7430" width="26.85546875" customWidth="1"/>
    <col min="7431" max="7435" width="13.42578125" bestFit="1" customWidth="1"/>
    <col min="7436" max="7436" width="13.28515625" customWidth="1"/>
    <col min="7437" max="7439" width="0" hidden="1" customWidth="1"/>
    <col min="7681" max="7681" width="16.85546875" customWidth="1"/>
    <col min="7682" max="7682" width="26.7109375" customWidth="1"/>
    <col min="7683" max="7683" width="25.28515625" customWidth="1"/>
    <col min="7684" max="7684" width="33.28515625" customWidth="1"/>
    <col min="7685" max="7685" width="25.42578125" customWidth="1"/>
    <col min="7686" max="7686" width="26.85546875" customWidth="1"/>
    <col min="7687" max="7691" width="13.42578125" bestFit="1" customWidth="1"/>
    <col min="7692" max="7692" width="13.28515625" customWidth="1"/>
    <col min="7693" max="7695" width="0" hidden="1" customWidth="1"/>
    <col min="7937" max="7937" width="16.85546875" customWidth="1"/>
    <col min="7938" max="7938" width="26.7109375" customWidth="1"/>
    <col min="7939" max="7939" width="25.28515625" customWidth="1"/>
    <col min="7940" max="7940" width="33.28515625" customWidth="1"/>
    <col min="7941" max="7941" width="25.42578125" customWidth="1"/>
    <col min="7942" max="7942" width="26.85546875" customWidth="1"/>
    <col min="7943" max="7947" width="13.42578125" bestFit="1" customWidth="1"/>
    <col min="7948" max="7948" width="13.28515625" customWidth="1"/>
    <col min="7949" max="7951" width="0" hidden="1" customWidth="1"/>
    <col min="8193" max="8193" width="16.85546875" customWidth="1"/>
    <col min="8194" max="8194" width="26.7109375" customWidth="1"/>
    <col min="8195" max="8195" width="25.28515625" customWidth="1"/>
    <col min="8196" max="8196" width="33.28515625" customWidth="1"/>
    <col min="8197" max="8197" width="25.42578125" customWidth="1"/>
    <col min="8198" max="8198" width="26.85546875" customWidth="1"/>
    <col min="8199" max="8203" width="13.42578125" bestFit="1" customWidth="1"/>
    <col min="8204" max="8204" width="13.28515625" customWidth="1"/>
    <col min="8205" max="8207" width="0" hidden="1" customWidth="1"/>
    <col min="8449" max="8449" width="16.85546875" customWidth="1"/>
    <col min="8450" max="8450" width="26.7109375" customWidth="1"/>
    <col min="8451" max="8451" width="25.28515625" customWidth="1"/>
    <col min="8452" max="8452" width="33.28515625" customWidth="1"/>
    <col min="8453" max="8453" width="25.42578125" customWidth="1"/>
    <col min="8454" max="8454" width="26.85546875" customWidth="1"/>
    <col min="8455" max="8459" width="13.42578125" bestFit="1" customWidth="1"/>
    <col min="8460" max="8460" width="13.28515625" customWidth="1"/>
    <col min="8461" max="8463" width="0" hidden="1" customWidth="1"/>
    <col min="8705" max="8705" width="16.85546875" customWidth="1"/>
    <col min="8706" max="8706" width="26.7109375" customWidth="1"/>
    <col min="8707" max="8707" width="25.28515625" customWidth="1"/>
    <col min="8708" max="8708" width="33.28515625" customWidth="1"/>
    <col min="8709" max="8709" width="25.42578125" customWidth="1"/>
    <col min="8710" max="8710" width="26.85546875" customWidth="1"/>
    <col min="8711" max="8715" width="13.42578125" bestFit="1" customWidth="1"/>
    <col min="8716" max="8716" width="13.28515625" customWidth="1"/>
    <col min="8717" max="8719" width="0" hidden="1" customWidth="1"/>
    <col min="8961" max="8961" width="16.85546875" customWidth="1"/>
    <col min="8962" max="8962" width="26.7109375" customWidth="1"/>
    <col min="8963" max="8963" width="25.28515625" customWidth="1"/>
    <col min="8964" max="8964" width="33.28515625" customWidth="1"/>
    <col min="8965" max="8965" width="25.42578125" customWidth="1"/>
    <col min="8966" max="8966" width="26.85546875" customWidth="1"/>
    <col min="8967" max="8971" width="13.42578125" bestFit="1" customWidth="1"/>
    <col min="8972" max="8972" width="13.28515625" customWidth="1"/>
    <col min="8973" max="8975" width="0" hidden="1" customWidth="1"/>
    <col min="9217" max="9217" width="16.85546875" customWidth="1"/>
    <col min="9218" max="9218" width="26.7109375" customWidth="1"/>
    <col min="9219" max="9219" width="25.28515625" customWidth="1"/>
    <col min="9220" max="9220" width="33.28515625" customWidth="1"/>
    <col min="9221" max="9221" width="25.42578125" customWidth="1"/>
    <col min="9222" max="9222" width="26.85546875" customWidth="1"/>
    <col min="9223" max="9227" width="13.42578125" bestFit="1" customWidth="1"/>
    <col min="9228" max="9228" width="13.28515625" customWidth="1"/>
    <col min="9229" max="9231" width="0" hidden="1" customWidth="1"/>
    <col min="9473" max="9473" width="16.85546875" customWidth="1"/>
    <col min="9474" max="9474" width="26.7109375" customWidth="1"/>
    <col min="9475" max="9475" width="25.28515625" customWidth="1"/>
    <col min="9476" max="9476" width="33.28515625" customWidth="1"/>
    <col min="9477" max="9477" width="25.42578125" customWidth="1"/>
    <col min="9478" max="9478" width="26.85546875" customWidth="1"/>
    <col min="9479" max="9483" width="13.42578125" bestFit="1" customWidth="1"/>
    <col min="9484" max="9484" width="13.28515625" customWidth="1"/>
    <col min="9485" max="9487" width="0" hidden="1" customWidth="1"/>
    <col min="9729" max="9729" width="16.85546875" customWidth="1"/>
    <col min="9730" max="9730" width="26.7109375" customWidth="1"/>
    <col min="9731" max="9731" width="25.28515625" customWidth="1"/>
    <col min="9732" max="9732" width="33.28515625" customWidth="1"/>
    <col min="9733" max="9733" width="25.42578125" customWidth="1"/>
    <col min="9734" max="9734" width="26.85546875" customWidth="1"/>
    <col min="9735" max="9739" width="13.42578125" bestFit="1" customWidth="1"/>
    <col min="9740" max="9740" width="13.28515625" customWidth="1"/>
    <col min="9741" max="9743" width="0" hidden="1" customWidth="1"/>
    <col min="9985" max="9985" width="16.85546875" customWidth="1"/>
    <col min="9986" max="9986" width="26.7109375" customWidth="1"/>
    <col min="9987" max="9987" width="25.28515625" customWidth="1"/>
    <col min="9988" max="9988" width="33.28515625" customWidth="1"/>
    <col min="9989" max="9989" width="25.42578125" customWidth="1"/>
    <col min="9990" max="9990" width="26.85546875" customWidth="1"/>
    <col min="9991" max="9995" width="13.42578125" bestFit="1" customWidth="1"/>
    <col min="9996" max="9996" width="13.28515625" customWidth="1"/>
    <col min="9997" max="9999" width="0" hidden="1" customWidth="1"/>
    <col min="10241" max="10241" width="16.85546875" customWidth="1"/>
    <col min="10242" max="10242" width="26.7109375" customWidth="1"/>
    <col min="10243" max="10243" width="25.28515625" customWidth="1"/>
    <col min="10244" max="10244" width="33.28515625" customWidth="1"/>
    <col min="10245" max="10245" width="25.42578125" customWidth="1"/>
    <col min="10246" max="10246" width="26.85546875" customWidth="1"/>
    <col min="10247" max="10251" width="13.42578125" bestFit="1" customWidth="1"/>
    <col min="10252" max="10252" width="13.28515625" customWidth="1"/>
    <col min="10253" max="10255" width="0" hidden="1" customWidth="1"/>
    <col min="10497" max="10497" width="16.85546875" customWidth="1"/>
    <col min="10498" max="10498" width="26.7109375" customWidth="1"/>
    <col min="10499" max="10499" width="25.28515625" customWidth="1"/>
    <col min="10500" max="10500" width="33.28515625" customWidth="1"/>
    <col min="10501" max="10501" width="25.42578125" customWidth="1"/>
    <col min="10502" max="10502" width="26.85546875" customWidth="1"/>
    <col min="10503" max="10507" width="13.42578125" bestFit="1" customWidth="1"/>
    <col min="10508" max="10508" width="13.28515625" customWidth="1"/>
    <col min="10509" max="10511" width="0" hidden="1" customWidth="1"/>
    <col min="10753" max="10753" width="16.85546875" customWidth="1"/>
    <col min="10754" max="10754" width="26.7109375" customWidth="1"/>
    <col min="10755" max="10755" width="25.28515625" customWidth="1"/>
    <col min="10756" max="10756" width="33.28515625" customWidth="1"/>
    <col min="10757" max="10757" width="25.42578125" customWidth="1"/>
    <col min="10758" max="10758" width="26.85546875" customWidth="1"/>
    <col min="10759" max="10763" width="13.42578125" bestFit="1" customWidth="1"/>
    <col min="10764" max="10764" width="13.28515625" customWidth="1"/>
    <col min="10765" max="10767" width="0" hidden="1" customWidth="1"/>
    <col min="11009" max="11009" width="16.85546875" customWidth="1"/>
    <col min="11010" max="11010" width="26.7109375" customWidth="1"/>
    <col min="11011" max="11011" width="25.28515625" customWidth="1"/>
    <col min="11012" max="11012" width="33.28515625" customWidth="1"/>
    <col min="11013" max="11013" width="25.42578125" customWidth="1"/>
    <col min="11014" max="11014" width="26.85546875" customWidth="1"/>
    <col min="11015" max="11019" width="13.42578125" bestFit="1" customWidth="1"/>
    <col min="11020" max="11020" width="13.28515625" customWidth="1"/>
    <col min="11021" max="11023" width="0" hidden="1" customWidth="1"/>
    <col min="11265" max="11265" width="16.85546875" customWidth="1"/>
    <col min="11266" max="11266" width="26.7109375" customWidth="1"/>
    <col min="11267" max="11267" width="25.28515625" customWidth="1"/>
    <col min="11268" max="11268" width="33.28515625" customWidth="1"/>
    <col min="11269" max="11269" width="25.42578125" customWidth="1"/>
    <col min="11270" max="11270" width="26.85546875" customWidth="1"/>
    <col min="11271" max="11275" width="13.42578125" bestFit="1" customWidth="1"/>
    <col min="11276" max="11276" width="13.28515625" customWidth="1"/>
    <col min="11277" max="11279" width="0" hidden="1" customWidth="1"/>
    <col min="11521" max="11521" width="16.85546875" customWidth="1"/>
    <col min="11522" max="11522" width="26.7109375" customWidth="1"/>
    <col min="11523" max="11523" width="25.28515625" customWidth="1"/>
    <col min="11524" max="11524" width="33.28515625" customWidth="1"/>
    <col min="11525" max="11525" width="25.42578125" customWidth="1"/>
    <col min="11526" max="11526" width="26.85546875" customWidth="1"/>
    <col min="11527" max="11531" width="13.42578125" bestFit="1" customWidth="1"/>
    <col min="11532" max="11532" width="13.28515625" customWidth="1"/>
    <col min="11533" max="11535" width="0" hidden="1" customWidth="1"/>
    <col min="11777" max="11777" width="16.85546875" customWidth="1"/>
    <col min="11778" max="11778" width="26.7109375" customWidth="1"/>
    <col min="11779" max="11779" width="25.28515625" customWidth="1"/>
    <col min="11780" max="11780" width="33.28515625" customWidth="1"/>
    <col min="11781" max="11781" width="25.42578125" customWidth="1"/>
    <col min="11782" max="11782" width="26.85546875" customWidth="1"/>
    <col min="11783" max="11787" width="13.42578125" bestFit="1" customWidth="1"/>
    <col min="11788" max="11788" width="13.28515625" customWidth="1"/>
    <col min="11789" max="11791" width="0" hidden="1" customWidth="1"/>
    <col min="12033" max="12033" width="16.85546875" customWidth="1"/>
    <col min="12034" max="12034" width="26.7109375" customWidth="1"/>
    <col min="12035" max="12035" width="25.28515625" customWidth="1"/>
    <col min="12036" max="12036" width="33.28515625" customWidth="1"/>
    <col min="12037" max="12037" width="25.42578125" customWidth="1"/>
    <col min="12038" max="12038" width="26.85546875" customWidth="1"/>
    <col min="12039" max="12043" width="13.42578125" bestFit="1" customWidth="1"/>
    <col min="12044" max="12044" width="13.28515625" customWidth="1"/>
    <col min="12045" max="12047" width="0" hidden="1" customWidth="1"/>
    <col min="12289" max="12289" width="16.85546875" customWidth="1"/>
    <col min="12290" max="12290" width="26.7109375" customWidth="1"/>
    <col min="12291" max="12291" width="25.28515625" customWidth="1"/>
    <col min="12292" max="12292" width="33.28515625" customWidth="1"/>
    <col min="12293" max="12293" width="25.42578125" customWidth="1"/>
    <col min="12294" max="12294" width="26.85546875" customWidth="1"/>
    <col min="12295" max="12299" width="13.42578125" bestFit="1" customWidth="1"/>
    <col min="12300" max="12300" width="13.28515625" customWidth="1"/>
    <col min="12301" max="12303" width="0" hidden="1" customWidth="1"/>
    <col min="12545" max="12545" width="16.85546875" customWidth="1"/>
    <col min="12546" max="12546" width="26.7109375" customWidth="1"/>
    <col min="12547" max="12547" width="25.28515625" customWidth="1"/>
    <col min="12548" max="12548" width="33.28515625" customWidth="1"/>
    <col min="12549" max="12549" width="25.42578125" customWidth="1"/>
    <col min="12550" max="12550" width="26.85546875" customWidth="1"/>
    <col min="12551" max="12555" width="13.42578125" bestFit="1" customWidth="1"/>
    <col min="12556" max="12556" width="13.28515625" customWidth="1"/>
    <col min="12557" max="12559" width="0" hidden="1" customWidth="1"/>
    <col min="12801" max="12801" width="16.85546875" customWidth="1"/>
    <col min="12802" max="12802" width="26.7109375" customWidth="1"/>
    <col min="12803" max="12803" width="25.28515625" customWidth="1"/>
    <col min="12804" max="12804" width="33.28515625" customWidth="1"/>
    <col min="12805" max="12805" width="25.42578125" customWidth="1"/>
    <col min="12806" max="12806" width="26.85546875" customWidth="1"/>
    <col min="12807" max="12811" width="13.42578125" bestFit="1" customWidth="1"/>
    <col min="12812" max="12812" width="13.28515625" customWidth="1"/>
    <col min="12813" max="12815" width="0" hidden="1" customWidth="1"/>
    <col min="13057" max="13057" width="16.85546875" customWidth="1"/>
    <col min="13058" max="13058" width="26.7109375" customWidth="1"/>
    <col min="13059" max="13059" width="25.28515625" customWidth="1"/>
    <col min="13060" max="13060" width="33.28515625" customWidth="1"/>
    <col min="13061" max="13061" width="25.42578125" customWidth="1"/>
    <col min="13062" max="13062" width="26.85546875" customWidth="1"/>
    <col min="13063" max="13067" width="13.42578125" bestFit="1" customWidth="1"/>
    <col min="13068" max="13068" width="13.28515625" customWidth="1"/>
    <col min="13069" max="13071" width="0" hidden="1" customWidth="1"/>
    <col min="13313" max="13313" width="16.85546875" customWidth="1"/>
    <col min="13314" max="13314" width="26.7109375" customWidth="1"/>
    <col min="13315" max="13315" width="25.28515625" customWidth="1"/>
    <col min="13316" max="13316" width="33.28515625" customWidth="1"/>
    <col min="13317" max="13317" width="25.42578125" customWidth="1"/>
    <col min="13318" max="13318" width="26.85546875" customWidth="1"/>
    <col min="13319" max="13323" width="13.42578125" bestFit="1" customWidth="1"/>
    <col min="13324" max="13324" width="13.28515625" customWidth="1"/>
    <col min="13325" max="13327" width="0" hidden="1" customWidth="1"/>
    <col min="13569" max="13569" width="16.85546875" customWidth="1"/>
    <col min="13570" max="13570" width="26.7109375" customWidth="1"/>
    <col min="13571" max="13571" width="25.28515625" customWidth="1"/>
    <col min="13572" max="13572" width="33.28515625" customWidth="1"/>
    <col min="13573" max="13573" width="25.42578125" customWidth="1"/>
    <col min="13574" max="13574" width="26.85546875" customWidth="1"/>
    <col min="13575" max="13579" width="13.42578125" bestFit="1" customWidth="1"/>
    <col min="13580" max="13580" width="13.28515625" customWidth="1"/>
    <col min="13581" max="13583" width="0" hidden="1" customWidth="1"/>
    <col min="13825" max="13825" width="16.85546875" customWidth="1"/>
    <col min="13826" max="13826" width="26.7109375" customWidth="1"/>
    <col min="13827" max="13827" width="25.28515625" customWidth="1"/>
    <col min="13828" max="13828" width="33.28515625" customWidth="1"/>
    <col min="13829" max="13829" width="25.42578125" customWidth="1"/>
    <col min="13830" max="13830" width="26.85546875" customWidth="1"/>
    <col min="13831" max="13835" width="13.42578125" bestFit="1" customWidth="1"/>
    <col min="13836" max="13836" width="13.28515625" customWidth="1"/>
    <col min="13837" max="13839" width="0" hidden="1" customWidth="1"/>
    <col min="14081" max="14081" width="16.85546875" customWidth="1"/>
    <col min="14082" max="14082" width="26.7109375" customWidth="1"/>
    <col min="14083" max="14083" width="25.28515625" customWidth="1"/>
    <col min="14084" max="14084" width="33.28515625" customWidth="1"/>
    <col min="14085" max="14085" width="25.42578125" customWidth="1"/>
    <col min="14086" max="14086" width="26.85546875" customWidth="1"/>
    <col min="14087" max="14091" width="13.42578125" bestFit="1" customWidth="1"/>
    <col min="14092" max="14092" width="13.28515625" customWidth="1"/>
    <col min="14093" max="14095" width="0" hidden="1" customWidth="1"/>
    <col min="14337" max="14337" width="16.85546875" customWidth="1"/>
    <col min="14338" max="14338" width="26.7109375" customWidth="1"/>
    <col min="14339" max="14339" width="25.28515625" customWidth="1"/>
    <col min="14340" max="14340" width="33.28515625" customWidth="1"/>
    <col min="14341" max="14341" width="25.42578125" customWidth="1"/>
    <col min="14342" max="14342" width="26.85546875" customWidth="1"/>
    <col min="14343" max="14347" width="13.42578125" bestFit="1" customWidth="1"/>
    <col min="14348" max="14348" width="13.28515625" customWidth="1"/>
    <col min="14349" max="14351" width="0" hidden="1" customWidth="1"/>
    <col min="14593" max="14593" width="16.85546875" customWidth="1"/>
    <col min="14594" max="14594" width="26.7109375" customWidth="1"/>
    <col min="14595" max="14595" width="25.28515625" customWidth="1"/>
    <col min="14596" max="14596" width="33.28515625" customWidth="1"/>
    <col min="14597" max="14597" width="25.42578125" customWidth="1"/>
    <col min="14598" max="14598" width="26.85546875" customWidth="1"/>
    <col min="14599" max="14603" width="13.42578125" bestFit="1" customWidth="1"/>
    <col min="14604" max="14604" width="13.28515625" customWidth="1"/>
    <col min="14605" max="14607" width="0" hidden="1" customWidth="1"/>
    <col min="14849" max="14849" width="16.85546875" customWidth="1"/>
    <col min="14850" max="14850" width="26.7109375" customWidth="1"/>
    <col min="14851" max="14851" width="25.28515625" customWidth="1"/>
    <col min="14852" max="14852" width="33.28515625" customWidth="1"/>
    <col min="14853" max="14853" width="25.42578125" customWidth="1"/>
    <col min="14854" max="14854" width="26.85546875" customWidth="1"/>
    <col min="14855" max="14859" width="13.42578125" bestFit="1" customWidth="1"/>
    <col min="14860" max="14860" width="13.28515625" customWidth="1"/>
    <col min="14861" max="14863" width="0" hidden="1" customWidth="1"/>
    <col min="15105" max="15105" width="16.85546875" customWidth="1"/>
    <col min="15106" max="15106" width="26.7109375" customWidth="1"/>
    <col min="15107" max="15107" width="25.28515625" customWidth="1"/>
    <col min="15108" max="15108" width="33.28515625" customWidth="1"/>
    <col min="15109" max="15109" width="25.42578125" customWidth="1"/>
    <col min="15110" max="15110" width="26.85546875" customWidth="1"/>
    <col min="15111" max="15115" width="13.42578125" bestFit="1" customWidth="1"/>
    <col min="15116" max="15116" width="13.28515625" customWidth="1"/>
    <col min="15117" max="15119" width="0" hidden="1" customWidth="1"/>
    <col min="15361" max="15361" width="16.85546875" customWidth="1"/>
    <col min="15362" max="15362" width="26.7109375" customWidth="1"/>
    <col min="15363" max="15363" width="25.28515625" customWidth="1"/>
    <col min="15364" max="15364" width="33.28515625" customWidth="1"/>
    <col min="15365" max="15365" width="25.42578125" customWidth="1"/>
    <col min="15366" max="15366" width="26.85546875" customWidth="1"/>
    <col min="15367" max="15371" width="13.42578125" bestFit="1" customWidth="1"/>
    <col min="15372" max="15372" width="13.28515625" customWidth="1"/>
    <col min="15373" max="15375" width="0" hidden="1" customWidth="1"/>
    <col min="15617" max="15617" width="16.85546875" customWidth="1"/>
    <col min="15618" max="15618" width="26.7109375" customWidth="1"/>
    <col min="15619" max="15619" width="25.28515625" customWidth="1"/>
    <col min="15620" max="15620" width="33.28515625" customWidth="1"/>
    <col min="15621" max="15621" width="25.42578125" customWidth="1"/>
    <col min="15622" max="15622" width="26.85546875" customWidth="1"/>
    <col min="15623" max="15627" width="13.42578125" bestFit="1" customWidth="1"/>
    <col min="15628" max="15628" width="13.28515625" customWidth="1"/>
    <col min="15629" max="15631" width="0" hidden="1" customWidth="1"/>
    <col min="15873" max="15873" width="16.85546875" customWidth="1"/>
    <col min="15874" max="15874" width="26.7109375" customWidth="1"/>
    <col min="15875" max="15875" width="25.28515625" customWidth="1"/>
    <col min="15876" max="15876" width="33.28515625" customWidth="1"/>
    <col min="15877" max="15877" width="25.42578125" customWidth="1"/>
    <col min="15878" max="15878" width="26.85546875" customWidth="1"/>
    <col min="15879" max="15883" width="13.42578125" bestFit="1" customWidth="1"/>
    <col min="15884" max="15884" width="13.28515625" customWidth="1"/>
    <col min="15885" max="15887" width="0" hidden="1" customWidth="1"/>
    <col min="16129" max="16129" width="16.85546875" customWidth="1"/>
    <col min="16130" max="16130" width="26.7109375" customWidth="1"/>
    <col min="16131" max="16131" width="25.28515625" customWidth="1"/>
    <col min="16132" max="16132" width="33.28515625" customWidth="1"/>
    <col min="16133" max="16133" width="25.42578125" customWidth="1"/>
    <col min="16134" max="16134" width="26.85546875" customWidth="1"/>
    <col min="16135" max="16139" width="13.42578125" bestFit="1" customWidth="1"/>
    <col min="16140" max="16140" width="13.28515625" customWidth="1"/>
    <col min="16141" max="16143" width="0" hidden="1" customWidth="1"/>
  </cols>
  <sheetData>
    <row r="1" spans="1:15">
      <c r="A1" s="149" t="s">
        <v>18</v>
      </c>
      <c r="B1" s="149"/>
      <c r="C1" s="149"/>
      <c r="D1" s="149"/>
      <c r="E1" s="149"/>
      <c r="F1" s="149"/>
      <c r="G1" s="149"/>
      <c r="H1" s="56"/>
      <c r="I1" s="56"/>
      <c r="J1" s="56"/>
      <c r="K1" s="56"/>
      <c r="L1" s="56"/>
      <c r="M1" s="52"/>
      <c r="N1" s="52"/>
      <c r="O1" s="52"/>
    </row>
    <row r="2" spans="1:15">
      <c r="A2" s="148" t="s">
        <v>47</v>
      </c>
      <c r="B2" s="148"/>
      <c r="C2" s="148"/>
      <c r="D2" s="148"/>
      <c r="E2" s="148"/>
      <c r="F2" s="148"/>
      <c r="G2" s="148"/>
      <c r="H2" s="57"/>
      <c r="I2" s="57"/>
      <c r="J2" s="57"/>
      <c r="K2" s="57"/>
      <c r="L2" s="57"/>
      <c r="M2" s="53"/>
      <c r="N2" s="53"/>
      <c r="O2" s="53"/>
    </row>
    <row r="3" spans="1:15">
      <c r="A3" s="151" t="s">
        <v>45</v>
      </c>
      <c r="B3" s="151"/>
      <c r="C3" s="151"/>
      <c r="D3" s="151"/>
      <c r="E3" s="151"/>
      <c r="F3" s="151"/>
      <c r="G3" s="151"/>
      <c r="H3" s="58"/>
      <c r="I3" s="58"/>
      <c r="J3" s="58"/>
      <c r="K3" s="58"/>
      <c r="L3" s="58"/>
      <c r="M3" s="54"/>
      <c r="N3" s="54"/>
      <c r="O3" s="54"/>
    </row>
    <row r="4" spans="1:15">
      <c r="A4" s="18" t="s">
        <v>19</v>
      </c>
      <c r="B4" s="59">
        <v>2008</v>
      </c>
      <c r="C4" s="60">
        <v>2009</v>
      </c>
      <c r="D4" s="61">
        <v>2010</v>
      </c>
      <c r="E4" s="60">
        <v>2011</v>
      </c>
      <c r="F4" s="60">
        <v>2012</v>
      </c>
      <c r="G4" s="62">
        <v>2013</v>
      </c>
    </row>
    <row r="5" spans="1:15">
      <c r="A5" s="19" t="s">
        <v>36</v>
      </c>
      <c r="B5" s="63">
        <v>14390646</v>
      </c>
      <c r="C5" s="64">
        <v>13832837</v>
      </c>
      <c r="D5" s="64">
        <v>16269111</v>
      </c>
      <c r="E5" s="64">
        <v>14322991</v>
      </c>
      <c r="F5" s="64">
        <v>16610809.550999997</v>
      </c>
      <c r="G5" s="107">
        <f>'2013'!N6</f>
        <v>15764048.210000001</v>
      </c>
    </row>
    <row r="21" spans="1:13">
      <c r="A21" t="s">
        <v>21</v>
      </c>
    </row>
    <row r="22" spans="1:13">
      <c r="A22" s="149" t="s">
        <v>18</v>
      </c>
      <c r="B22" s="149"/>
      <c r="C22" s="149"/>
      <c r="D22" s="149"/>
      <c r="E22" s="149"/>
      <c r="F22" s="149"/>
      <c r="G22" s="149"/>
    </row>
    <row r="23" spans="1:13">
      <c r="A23" s="148" t="s">
        <v>66</v>
      </c>
      <c r="B23" s="148"/>
      <c r="C23" s="148"/>
      <c r="D23" s="148"/>
      <c r="E23" s="148"/>
      <c r="F23" s="148"/>
      <c r="G23" s="148"/>
    </row>
    <row r="24" spans="1:13">
      <c r="A24" s="151" t="s">
        <v>45</v>
      </c>
      <c r="B24" s="151"/>
      <c r="C24" s="151"/>
      <c r="D24" s="151"/>
      <c r="E24" s="151"/>
      <c r="F24" s="151"/>
      <c r="G24" s="151"/>
    </row>
    <row r="25" spans="1:13">
      <c r="A25" s="18" t="s">
        <v>19</v>
      </c>
      <c r="B25" s="59">
        <v>2008</v>
      </c>
      <c r="C25" s="60">
        <v>2009</v>
      </c>
      <c r="D25" s="61">
        <v>2010</v>
      </c>
      <c r="E25" s="60">
        <v>2011</v>
      </c>
      <c r="F25" s="60">
        <v>2012</v>
      </c>
      <c r="G25" s="62">
        <v>2013</v>
      </c>
      <c r="H25" s="41"/>
      <c r="I25" s="41"/>
      <c r="J25" s="41"/>
      <c r="K25" s="41"/>
      <c r="L25" s="41"/>
      <c r="M25" s="41"/>
    </row>
    <row r="26" spans="1:13">
      <c r="A26" s="19" t="s">
        <v>56</v>
      </c>
      <c r="B26" s="111">
        <v>2.5863176964261877E-2</v>
      </c>
      <c r="C26" s="109">
        <v>2.610011458706455E-2</v>
      </c>
      <c r="D26" s="109">
        <v>2.578612970818954E-2</v>
      </c>
      <c r="E26" s="109">
        <v>2.4895324501204168E-2</v>
      </c>
      <c r="F26" s="109">
        <v>2.5483256936469457E-2</v>
      </c>
      <c r="G26" s="110">
        <v>2.3280205165239813E-2</v>
      </c>
    </row>
    <row r="34" spans="2:3">
      <c r="B34" s="87"/>
      <c r="C34" s="87"/>
    </row>
  </sheetData>
  <mergeCells count="6">
    <mergeCell ref="A24:G24"/>
    <mergeCell ref="A1:G1"/>
    <mergeCell ref="A2:G2"/>
    <mergeCell ref="A3:G3"/>
    <mergeCell ref="A22:G22"/>
    <mergeCell ref="A23:G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workbookViewId="0">
      <selection activeCell="F25" sqref="F25"/>
    </sheetView>
  </sheetViews>
  <sheetFormatPr defaultRowHeight="15"/>
  <cols>
    <col min="1" max="1" width="13.5703125" customWidth="1"/>
    <col min="2" max="2" width="16.7109375" customWidth="1"/>
    <col min="3" max="3" width="16.5703125" customWidth="1"/>
    <col min="4" max="4" width="15.5703125" customWidth="1"/>
    <col min="5" max="5" width="15.28515625" customWidth="1"/>
    <col min="6" max="6" width="17.85546875" customWidth="1"/>
    <col min="7" max="7" width="19.28515625" customWidth="1"/>
    <col min="8" max="13" width="11.5703125" bestFit="1" customWidth="1"/>
    <col min="14" max="14" width="11.7109375" customWidth="1"/>
    <col min="15" max="15" width="12" bestFit="1" customWidth="1"/>
    <col min="17" max="17" width="10.5703125" bestFit="1" customWidth="1"/>
    <col min="257" max="257" width="13.5703125" customWidth="1"/>
    <col min="258" max="258" width="29" customWidth="1"/>
    <col min="259" max="259" width="24.140625" customWidth="1"/>
    <col min="260" max="260" width="28.5703125" customWidth="1"/>
    <col min="261" max="261" width="24.5703125" customWidth="1"/>
    <col min="262" max="262" width="26.5703125" customWidth="1"/>
    <col min="263" max="269" width="11.5703125" bestFit="1" customWidth="1"/>
    <col min="270" max="270" width="11.7109375" customWidth="1"/>
    <col min="271" max="271" width="12" bestFit="1" customWidth="1"/>
    <col min="273" max="273" width="10.5703125" bestFit="1" customWidth="1"/>
    <col min="513" max="513" width="13.5703125" customWidth="1"/>
    <col min="514" max="514" width="29" customWidth="1"/>
    <col min="515" max="515" width="24.140625" customWidth="1"/>
    <col min="516" max="516" width="28.5703125" customWidth="1"/>
    <col min="517" max="517" width="24.5703125" customWidth="1"/>
    <col min="518" max="518" width="26.5703125" customWidth="1"/>
    <col min="519" max="525" width="11.5703125" bestFit="1" customWidth="1"/>
    <col min="526" max="526" width="11.7109375" customWidth="1"/>
    <col min="527" max="527" width="12" bestFit="1" customWidth="1"/>
    <col min="529" max="529" width="10.5703125" bestFit="1" customWidth="1"/>
    <col min="769" max="769" width="13.5703125" customWidth="1"/>
    <col min="770" max="770" width="29" customWidth="1"/>
    <col min="771" max="771" width="24.140625" customWidth="1"/>
    <col min="772" max="772" width="28.5703125" customWidth="1"/>
    <col min="773" max="773" width="24.5703125" customWidth="1"/>
    <col min="774" max="774" width="26.5703125" customWidth="1"/>
    <col min="775" max="781" width="11.5703125" bestFit="1" customWidth="1"/>
    <col min="782" max="782" width="11.7109375" customWidth="1"/>
    <col min="783" max="783" width="12" bestFit="1" customWidth="1"/>
    <col min="785" max="785" width="10.5703125" bestFit="1" customWidth="1"/>
    <col min="1025" max="1025" width="13.5703125" customWidth="1"/>
    <col min="1026" max="1026" width="29" customWidth="1"/>
    <col min="1027" max="1027" width="24.140625" customWidth="1"/>
    <col min="1028" max="1028" width="28.5703125" customWidth="1"/>
    <col min="1029" max="1029" width="24.5703125" customWidth="1"/>
    <col min="1030" max="1030" width="26.5703125" customWidth="1"/>
    <col min="1031" max="1037" width="11.5703125" bestFit="1" customWidth="1"/>
    <col min="1038" max="1038" width="11.7109375" customWidth="1"/>
    <col min="1039" max="1039" width="12" bestFit="1" customWidth="1"/>
    <col min="1041" max="1041" width="10.5703125" bestFit="1" customWidth="1"/>
    <col min="1281" max="1281" width="13.5703125" customWidth="1"/>
    <col min="1282" max="1282" width="29" customWidth="1"/>
    <col min="1283" max="1283" width="24.140625" customWidth="1"/>
    <col min="1284" max="1284" width="28.5703125" customWidth="1"/>
    <col min="1285" max="1285" width="24.5703125" customWidth="1"/>
    <col min="1286" max="1286" width="26.5703125" customWidth="1"/>
    <col min="1287" max="1293" width="11.5703125" bestFit="1" customWidth="1"/>
    <col min="1294" max="1294" width="11.7109375" customWidth="1"/>
    <col min="1295" max="1295" width="12" bestFit="1" customWidth="1"/>
    <col min="1297" max="1297" width="10.5703125" bestFit="1" customWidth="1"/>
    <col min="1537" max="1537" width="13.5703125" customWidth="1"/>
    <col min="1538" max="1538" width="29" customWidth="1"/>
    <col min="1539" max="1539" width="24.140625" customWidth="1"/>
    <col min="1540" max="1540" width="28.5703125" customWidth="1"/>
    <col min="1541" max="1541" width="24.5703125" customWidth="1"/>
    <col min="1542" max="1542" width="26.5703125" customWidth="1"/>
    <col min="1543" max="1549" width="11.5703125" bestFit="1" customWidth="1"/>
    <col min="1550" max="1550" width="11.7109375" customWidth="1"/>
    <col min="1551" max="1551" width="12" bestFit="1" customWidth="1"/>
    <col min="1553" max="1553" width="10.5703125" bestFit="1" customWidth="1"/>
    <col min="1793" max="1793" width="13.5703125" customWidth="1"/>
    <col min="1794" max="1794" width="29" customWidth="1"/>
    <col min="1795" max="1795" width="24.140625" customWidth="1"/>
    <col min="1796" max="1796" width="28.5703125" customWidth="1"/>
    <col min="1797" max="1797" width="24.5703125" customWidth="1"/>
    <col min="1798" max="1798" width="26.5703125" customWidth="1"/>
    <col min="1799" max="1805" width="11.5703125" bestFit="1" customWidth="1"/>
    <col min="1806" max="1806" width="11.7109375" customWidth="1"/>
    <col min="1807" max="1807" width="12" bestFit="1" customWidth="1"/>
    <col min="1809" max="1809" width="10.5703125" bestFit="1" customWidth="1"/>
    <col min="2049" max="2049" width="13.5703125" customWidth="1"/>
    <col min="2050" max="2050" width="29" customWidth="1"/>
    <col min="2051" max="2051" width="24.140625" customWidth="1"/>
    <col min="2052" max="2052" width="28.5703125" customWidth="1"/>
    <col min="2053" max="2053" width="24.5703125" customWidth="1"/>
    <col min="2054" max="2054" width="26.5703125" customWidth="1"/>
    <col min="2055" max="2061" width="11.5703125" bestFit="1" customWidth="1"/>
    <col min="2062" max="2062" width="11.7109375" customWidth="1"/>
    <col min="2063" max="2063" width="12" bestFit="1" customWidth="1"/>
    <col min="2065" max="2065" width="10.5703125" bestFit="1" customWidth="1"/>
    <col min="2305" max="2305" width="13.5703125" customWidth="1"/>
    <col min="2306" max="2306" width="29" customWidth="1"/>
    <col min="2307" max="2307" width="24.140625" customWidth="1"/>
    <col min="2308" max="2308" width="28.5703125" customWidth="1"/>
    <col min="2309" max="2309" width="24.5703125" customWidth="1"/>
    <col min="2310" max="2310" width="26.5703125" customWidth="1"/>
    <col min="2311" max="2317" width="11.5703125" bestFit="1" customWidth="1"/>
    <col min="2318" max="2318" width="11.7109375" customWidth="1"/>
    <col min="2319" max="2319" width="12" bestFit="1" customWidth="1"/>
    <col min="2321" max="2321" width="10.5703125" bestFit="1" customWidth="1"/>
    <col min="2561" max="2561" width="13.5703125" customWidth="1"/>
    <col min="2562" max="2562" width="29" customWidth="1"/>
    <col min="2563" max="2563" width="24.140625" customWidth="1"/>
    <col min="2564" max="2564" width="28.5703125" customWidth="1"/>
    <col min="2565" max="2565" width="24.5703125" customWidth="1"/>
    <col min="2566" max="2566" width="26.5703125" customWidth="1"/>
    <col min="2567" max="2573" width="11.5703125" bestFit="1" customWidth="1"/>
    <col min="2574" max="2574" width="11.7109375" customWidth="1"/>
    <col min="2575" max="2575" width="12" bestFit="1" customWidth="1"/>
    <col min="2577" max="2577" width="10.5703125" bestFit="1" customWidth="1"/>
    <col min="2817" max="2817" width="13.5703125" customWidth="1"/>
    <col min="2818" max="2818" width="29" customWidth="1"/>
    <col min="2819" max="2819" width="24.140625" customWidth="1"/>
    <col min="2820" max="2820" width="28.5703125" customWidth="1"/>
    <col min="2821" max="2821" width="24.5703125" customWidth="1"/>
    <col min="2822" max="2822" width="26.5703125" customWidth="1"/>
    <col min="2823" max="2829" width="11.5703125" bestFit="1" customWidth="1"/>
    <col min="2830" max="2830" width="11.7109375" customWidth="1"/>
    <col min="2831" max="2831" width="12" bestFit="1" customWidth="1"/>
    <col min="2833" max="2833" width="10.5703125" bestFit="1" customWidth="1"/>
    <col min="3073" max="3073" width="13.5703125" customWidth="1"/>
    <col min="3074" max="3074" width="29" customWidth="1"/>
    <col min="3075" max="3075" width="24.140625" customWidth="1"/>
    <col min="3076" max="3076" width="28.5703125" customWidth="1"/>
    <col min="3077" max="3077" width="24.5703125" customWidth="1"/>
    <col min="3078" max="3078" width="26.5703125" customWidth="1"/>
    <col min="3079" max="3085" width="11.5703125" bestFit="1" customWidth="1"/>
    <col min="3086" max="3086" width="11.7109375" customWidth="1"/>
    <col min="3087" max="3087" width="12" bestFit="1" customWidth="1"/>
    <col min="3089" max="3089" width="10.5703125" bestFit="1" customWidth="1"/>
    <col min="3329" max="3329" width="13.5703125" customWidth="1"/>
    <col min="3330" max="3330" width="29" customWidth="1"/>
    <col min="3331" max="3331" width="24.140625" customWidth="1"/>
    <col min="3332" max="3332" width="28.5703125" customWidth="1"/>
    <col min="3333" max="3333" width="24.5703125" customWidth="1"/>
    <col min="3334" max="3334" width="26.5703125" customWidth="1"/>
    <col min="3335" max="3341" width="11.5703125" bestFit="1" customWidth="1"/>
    <col min="3342" max="3342" width="11.7109375" customWidth="1"/>
    <col min="3343" max="3343" width="12" bestFit="1" customWidth="1"/>
    <col min="3345" max="3345" width="10.5703125" bestFit="1" customWidth="1"/>
    <col min="3585" max="3585" width="13.5703125" customWidth="1"/>
    <col min="3586" max="3586" width="29" customWidth="1"/>
    <col min="3587" max="3587" width="24.140625" customWidth="1"/>
    <col min="3588" max="3588" width="28.5703125" customWidth="1"/>
    <col min="3589" max="3589" width="24.5703125" customWidth="1"/>
    <col min="3590" max="3590" width="26.5703125" customWidth="1"/>
    <col min="3591" max="3597" width="11.5703125" bestFit="1" customWidth="1"/>
    <col min="3598" max="3598" width="11.7109375" customWidth="1"/>
    <col min="3599" max="3599" width="12" bestFit="1" customWidth="1"/>
    <col min="3601" max="3601" width="10.5703125" bestFit="1" customWidth="1"/>
    <col min="3841" max="3841" width="13.5703125" customWidth="1"/>
    <col min="3842" max="3842" width="29" customWidth="1"/>
    <col min="3843" max="3843" width="24.140625" customWidth="1"/>
    <col min="3844" max="3844" width="28.5703125" customWidth="1"/>
    <col min="3845" max="3845" width="24.5703125" customWidth="1"/>
    <col min="3846" max="3846" width="26.5703125" customWidth="1"/>
    <col min="3847" max="3853" width="11.5703125" bestFit="1" customWidth="1"/>
    <col min="3854" max="3854" width="11.7109375" customWidth="1"/>
    <col min="3855" max="3855" width="12" bestFit="1" customWidth="1"/>
    <col min="3857" max="3857" width="10.5703125" bestFit="1" customWidth="1"/>
    <col min="4097" max="4097" width="13.5703125" customWidth="1"/>
    <col min="4098" max="4098" width="29" customWidth="1"/>
    <col min="4099" max="4099" width="24.140625" customWidth="1"/>
    <col min="4100" max="4100" width="28.5703125" customWidth="1"/>
    <col min="4101" max="4101" width="24.5703125" customWidth="1"/>
    <col min="4102" max="4102" width="26.5703125" customWidth="1"/>
    <col min="4103" max="4109" width="11.5703125" bestFit="1" customWidth="1"/>
    <col min="4110" max="4110" width="11.7109375" customWidth="1"/>
    <col min="4111" max="4111" width="12" bestFit="1" customWidth="1"/>
    <col min="4113" max="4113" width="10.5703125" bestFit="1" customWidth="1"/>
    <col min="4353" max="4353" width="13.5703125" customWidth="1"/>
    <col min="4354" max="4354" width="29" customWidth="1"/>
    <col min="4355" max="4355" width="24.140625" customWidth="1"/>
    <col min="4356" max="4356" width="28.5703125" customWidth="1"/>
    <col min="4357" max="4357" width="24.5703125" customWidth="1"/>
    <col min="4358" max="4358" width="26.5703125" customWidth="1"/>
    <col min="4359" max="4365" width="11.5703125" bestFit="1" customWidth="1"/>
    <col min="4366" max="4366" width="11.7109375" customWidth="1"/>
    <col min="4367" max="4367" width="12" bestFit="1" customWidth="1"/>
    <col min="4369" max="4369" width="10.5703125" bestFit="1" customWidth="1"/>
    <col min="4609" max="4609" width="13.5703125" customWidth="1"/>
    <col min="4610" max="4610" width="29" customWidth="1"/>
    <col min="4611" max="4611" width="24.140625" customWidth="1"/>
    <col min="4612" max="4612" width="28.5703125" customWidth="1"/>
    <col min="4613" max="4613" width="24.5703125" customWidth="1"/>
    <col min="4614" max="4614" width="26.5703125" customWidth="1"/>
    <col min="4615" max="4621" width="11.5703125" bestFit="1" customWidth="1"/>
    <col min="4622" max="4622" width="11.7109375" customWidth="1"/>
    <col min="4623" max="4623" width="12" bestFit="1" customWidth="1"/>
    <col min="4625" max="4625" width="10.5703125" bestFit="1" customWidth="1"/>
    <col min="4865" max="4865" width="13.5703125" customWidth="1"/>
    <col min="4866" max="4866" width="29" customWidth="1"/>
    <col min="4867" max="4867" width="24.140625" customWidth="1"/>
    <col min="4868" max="4868" width="28.5703125" customWidth="1"/>
    <col min="4869" max="4869" width="24.5703125" customWidth="1"/>
    <col min="4870" max="4870" width="26.5703125" customWidth="1"/>
    <col min="4871" max="4877" width="11.5703125" bestFit="1" customWidth="1"/>
    <col min="4878" max="4878" width="11.7109375" customWidth="1"/>
    <col min="4879" max="4879" width="12" bestFit="1" customWidth="1"/>
    <col min="4881" max="4881" width="10.5703125" bestFit="1" customWidth="1"/>
    <col min="5121" max="5121" width="13.5703125" customWidth="1"/>
    <col min="5122" max="5122" width="29" customWidth="1"/>
    <col min="5123" max="5123" width="24.140625" customWidth="1"/>
    <col min="5124" max="5124" width="28.5703125" customWidth="1"/>
    <col min="5125" max="5125" width="24.5703125" customWidth="1"/>
    <col min="5126" max="5126" width="26.5703125" customWidth="1"/>
    <col min="5127" max="5133" width="11.5703125" bestFit="1" customWidth="1"/>
    <col min="5134" max="5134" width="11.7109375" customWidth="1"/>
    <col min="5135" max="5135" width="12" bestFit="1" customWidth="1"/>
    <col min="5137" max="5137" width="10.5703125" bestFit="1" customWidth="1"/>
    <col min="5377" max="5377" width="13.5703125" customWidth="1"/>
    <col min="5378" max="5378" width="29" customWidth="1"/>
    <col min="5379" max="5379" width="24.140625" customWidth="1"/>
    <col min="5380" max="5380" width="28.5703125" customWidth="1"/>
    <col min="5381" max="5381" width="24.5703125" customWidth="1"/>
    <col min="5382" max="5382" width="26.5703125" customWidth="1"/>
    <col min="5383" max="5389" width="11.5703125" bestFit="1" customWidth="1"/>
    <col min="5390" max="5390" width="11.7109375" customWidth="1"/>
    <col min="5391" max="5391" width="12" bestFit="1" customWidth="1"/>
    <col min="5393" max="5393" width="10.5703125" bestFit="1" customWidth="1"/>
    <col min="5633" max="5633" width="13.5703125" customWidth="1"/>
    <col min="5634" max="5634" width="29" customWidth="1"/>
    <col min="5635" max="5635" width="24.140625" customWidth="1"/>
    <col min="5636" max="5636" width="28.5703125" customWidth="1"/>
    <col min="5637" max="5637" width="24.5703125" customWidth="1"/>
    <col min="5638" max="5638" width="26.5703125" customWidth="1"/>
    <col min="5639" max="5645" width="11.5703125" bestFit="1" customWidth="1"/>
    <col min="5646" max="5646" width="11.7109375" customWidth="1"/>
    <col min="5647" max="5647" width="12" bestFit="1" customWidth="1"/>
    <col min="5649" max="5649" width="10.5703125" bestFit="1" customWidth="1"/>
    <col min="5889" max="5889" width="13.5703125" customWidth="1"/>
    <col min="5890" max="5890" width="29" customWidth="1"/>
    <col min="5891" max="5891" width="24.140625" customWidth="1"/>
    <col min="5892" max="5892" width="28.5703125" customWidth="1"/>
    <col min="5893" max="5893" width="24.5703125" customWidth="1"/>
    <col min="5894" max="5894" width="26.5703125" customWidth="1"/>
    <col min="5895" max="5901" width="11.5703125" bestFit="1" customWidth="1"/>
    <col min="5902" max="5902" width="11.7109375" customWidth="1"/>
    <col min="5903" max="5903" width="12" bestFit="1" customWidth="1"/>
    <col min="5905" max="5905" width="10.5703125" bestFit="1" customWidth="1"/>
    <col min="6145" max="6145" width="13.5703125" customWidth="1"/>
    <col min="6146" max="6146" width="29" customWidth="1"/>
    <col min="6147" max="6147" width="24.140625" customWidth="1"/>
    <col min="6148" max="6148" width="28.5703125" customWidth="1"/>
    <col min="6149" max="6149" width="24.5703125" customWidth="1"/>
    <col min="6150" max="6150" width="26.5703125" customWidth="1"/>
    <col min="6151" max="6157" width="11.5703125" bestFit="1" customWidth="1"/>
    <col min="6158" max="6158" width="11.7109375" customWidth="1"/>
    <col min="6159" max="6159" width="12" bestFit="1" customWidth="1"/>
    <col min="6161" max="6161" width="10.5703125" bestFit="1" customWidth="1"/>
    <col min="6401" max="6401" width="13.5703125" customWidth="1"/>
    <col min="6402" max="6402" width="29" customWidth="1"/>
    <col min="6403" max="6403" width="24.140625" customWidth="1"/>
    <col min="6404" max="6404" width="28.5703125" customWidth="1"/>
    <col min="6405" max="6405" width="24.5703125" customWidth="1"/>
    <col min="6406" max="6406" width="26.5703125" customWidth="1"/>
    <col min="6407" max="6413" width="11.5703125" bestFit="1" customWidth="1"/>
    <col min="6414" max="6414" width="11.7109375" customWidth="1"/>
    <col min="6415" max="6415" width="12" bestFit="1" customWidth="1"/>
    <col min="6417" max="6417" width="10.5703125" bestFit="1" customWidth="1"/>
    <col min="6657" max="6657" width="13.5703125" customWidth="1"/>
    <col min="6658" max="6658" width="29" customWidth="1"/>
    <col min="6659" max="6659" width="24.140625" customWidth="1"/>
    <col min="6660" max="6660" width="28.5703125" customWidth="1"/>
    <col min="6661" max="6661" width="24.5703125" customWidth="1"/>
    <col min="6662" max="6662" width="26.5703125" customWidth="1"/>
    <col min="6663" max="6669" width="11.5703125" bestFit="1" customWidth="1"/>
    <col min="6670" max="6670" width="11.7109375" customWidth="1"/>
    <col min="6671" max="6671" width="12" bestFit="1" customWidth="1"/>
    <col min="6673" max="6673" width="10.5703125" bestFit="1" customWidth="1"/>
    <col min="6913" max="6913" width="13.5703125" customWidth="1"/>
    <col min="6914" max="6914" width="29" customWidth="1"/>
    <col min="6915" max="6915" width="24.140625" customWidth="1"/>
    <col min="6916" max="6916" width="28.5703125" customWidth="1"/>
    <col min="6917" max="6917" width="24.5703125" customWidth="1"/>
    <col min="6918" max="6918" width="26.5703125" customWidth="1"/>
    <col min="6919" max="6925" width="11.5703125" bestFit="1" customWidth="1"/>
    <col min="6926" max="6926" width="11.7109375" customWidth="1"/>
    <col min="6927" max="6927" width="12" bestFit="1" customWidth="1"/>
    <col min="6929" max="6929" width="10.5703125" bestFit="1" customWidth="1"/>
    <col min="7169" max="7169" width="13.5703125" customWidth="1"/>
    <col min="7170" max="7170" width="29" customWidth="1"/>
    <col min="7171" max="7171" width="24.140625" customWidth="1"/>
    <col min="7172" max="7172" width="28.5703125" customWidth="1"/>
    <col min="7173" max="7173" width="24.5703125" customWidth="1"/>
    <col min="7174" max="7174" width="26.5703125" customWidth="1"/>
    <col min="7175" max="7181" width="11.5703125" bestFit="1" customWidth="1"/>
    <col min="7182" max="7182" width="11.7109375" customWidth="1"/>
    <col min="7183" max="7183" width="12" bestFit="1" customWidth="1"/>
    <col min="7185" max="7185" width="10.5703125" bestFit="1" customWidth="1"/>
    <col min="7425" max="7425" width="13.5703125" customWidth="1"/>
    <col min="7426" max="7426" width="29" customWidth="1"/>
    <col min="7427" max="7427" width="24.140625" customWidth="1"/>
    <col min="7428" max="7428" width="28.5703125" customWidth="1"/>
    <col min="7429" max="7429" width="24.5703125" customWidth="1"/>
    <col min="7430" max="7430" width="26.5703125" customWidth="1"/>
    <col min="7431" max="7437" width="11.5703125" bestFit="1" customWidth="1"/>
    <col min="7438" max="7438" width="11.7109375" customWidth="1"/>
    <col min="7439" max="7439" width="12" bestFit="1" customWidth="1"/>
    <col min="7441" max="7441" width="10.5703125" bestFit="1" customWidth="1"/>
    <col min="7681" max="7681" width="13.5703125" customWidth="1"/>
    <col min="7682" max="7682" width="29" customWidth="1"/>
    <col min="7683" max="7683" width="24.140625" customWidth="1"/>
    <col min="7684" max="7684" width="28.5703125" customWidth="1"/>
    <col min="7685" max="7685" width="24.5703125" customWidth="1"/>
    <col min="7686" max="7686" width="26.5703125" customWidth="1"/>
    <col min="7687" max="7693" width="11.5703125" bestFit="1" customWidth="1"/>
    <col min="7694" max="7694" width="11.7109375" customWidth="1"/>
    <col min="7695" max="7695" width="12" bestFit="1" customWidth="1"/>
    <col min="7697" max="7697" width="10.5703125" bestFit="1" customWidth="1"/>
    <col min="7937" max="7937" width="13.5703125" customWidth="1"/>
    <col min="7938" max="7938" width="29" customWidth="1"/>
    <col min="7939" max="7939" width="24.140625" customWidth="1"/>
    <col min="7940" max="7940" width="28.5703125" customWidth="1"/>
    <col min="7941" max="7941" width="24.5703125" customWidth="1"/>
    <col min="7942" max="7942" width="26.5703125" customWidth="1"/>
    <col min="7943" max="7949" width="11.5703125" bestFit="1" customWidth="1"/>
    <col min="7950" max="7950" width="11.7109375" customWidth="1"/>
    <col min="7951" max="7951" width="12" bestFit="1" customWidth="1"/>
    <col min="7953" max="7953" width="10.5703125" bestFit="1" customWidth="1"/>
    <col min="8193" max="8193" width="13.5703125" customWidth="1"/>
    <col min="8194" max="8194" width="29" customWidth="1"/>
    <col min="8195" max="8195" width="24.140625" customWidth="1"/>
    <col min="8196" max="8196" width="28.5703125" customWidth="1"/>
    <col min="8197" max="8197" width="24.5703125" customWidth="1"/>
    <col min="8198" max="8198" width="26.5703125" customWidth="1"/>
    <col min="8199" max="8205" width="11.5703125" bestFit="1" customWidth="1"/>
    <col min="8206" max="8206" width="11.7109375" customWidth="1"/>
    <col min="8207" max="8207" width="12" bestFit="1" customWidth="1"/>
    <col min="8209" max="8209" width="10.5703125" bestFit="1" customWidth="1"/>
    <col min="8449" max="8449" width="13.5703125" customWidth="1"/>
    <col min="8450" max="8450" width="29" customWidth="1"/>
    <col min="8451" max="8451" width="24.140625" customWidth="1"/>
    <col min="8452" max="8452" width="28.5703125" customWidth="1"/>
    <col min="8453" max="8453" width="24.5703125" customWidth="1"/>
    <col min="8454" max="8454" width="26.5703125" customWidth="1"/>
    <col min="8455" max="8461" width="11.5703125" bestFit="1" customWidth="1"/>
    <col min="8462" max="8462" width="11.7109375" customWidth="1"/>
    <col min="8463" max="8463" width="12" bestFit="1" customWidth="1"/>
    <col min="8465" max="8465" width="10.5703125" bestFit="1" customWidth="1"/>
    <col min="8705" max="8705" width="13.5703125" customWidth="1"/>
    <col min="8706" max="8706" width="29" customWidth="1"/>
    <col min="8707" max="8707" width="24.140625" customWidth="1"/>
    <col min="8708" max="8708" width="28.5703125" customWidth="1"/>
    <col min="8709" max="8709" width="24.5703125" customWidth="1"/>
    <col min="8710" max="8710" width="26.5703125" customWidth="1"/>
    <col min="8711" max="8717" width="11.5703125" bestFit="1" customWidth="1"/>
    <col min="8718" max="8718" width="11.7109375" customWidth="1"/>
    <col min="8719" max="8719" width="12" bestFit="1" customWidth="1"/>
    <col min="8721" max="8721" width="10.5703125" bestFit="1" customWidth="1"/>
    <col min="8961" max="8961" width="13.5703125" customWidth="1"/>
    <col min="8962" max="8962" width="29" customWidth="1"/>
    <col min="8963" max="8963" width="24.140625" customWidth="1"/>
    <col min="8964" max="8964" width="28.5703125" customWidth="1"/>
    <col min="8965" max="8965" width="24.5703125" customWidth="1"/>
    <col min="8966" max="8966" width="26.5703125" customWidth="1"/>
    <col min="8967" max="8973" width="11.5703125" bestFit="1" customWidth="1"/>
    <col min="8974" max="8974" width="11.7109375" customWidth="1"/>
    <col min="8975" max="8975" width="12" bestFit="1" customWidth="1"/>
    <col min="8977" max="8977" width="10.5703125" bestFit="1" customWidth="1"/>
    <col min="9217" max="9217" width="13.5703125" customWidth="1"/>
    <col min="9218" max="9218" width="29" customWidth="1"/>
    <col min="9219" max="9219" width="24.140625" customWidth="1"/>
    <col min="9220" max="9220" width="28.5703125" customWidth="1"/>
    <col min="9221" max="9221" width="24.5703125" customWidth="1"/>
    <col min="9222" max="9222" width="26.5703125" customWidth="1"/>
    <col min="9223" max="9229" width="11.5703125" bestFit="1" customWidth="1"/>
    <col min="9230" max="9230" width="11.7109375" customWidth="1"/>
    <col min="9231" max="9231" width="12" bestFit="1" customWidth="1"/>
    <col min="9233" max="9233" width="10.5703125" bestFit="1" customWidth="1"/>
    <col min="9473" max="9473" width="13.5703125" customWidth="1"/>
    <col min="9474" max="9474" width="29" customWidth="1"/>
    <col min="9475" max="9475" width="24.140625" customWidth="1"/>
    <col min="9476" max="9476" width="28.5703125" customWidth="1"/>
    <col min="9477" max="9477" width="24.5703125" customWidth="1"/>
    <col min="9478" max="9478" width="26.5703125" customWidth="1"/>
    <col min="9479" max="9485" width="11.5703125" bestFit="1" customWidth="1"/>
    <col min="9486" max="9486" width="11.7109375" customWidth="1"/>
    <col min="9487" max="9487" width="12" bestFit="1" customWidth="1"/>
    <col min="9489" max="9489" width="10.5703125" bestFit="1" customWidth="1"/>
    <col min="9729" max="9729" width="13.5703125" customWidth="1"/>
    <col min="9730" max="9730" width="29" customWidth="1"/>
    <col min="9731" max="9731" width="24.140625" customWidth="1"/>
    <col min="9732" max="9732" width="28.5703125" customWidth="1"/>
    <col min="9733" max="9733" width="24.5703125" customWidth="1"/>
    <col min="9734" max="9734" width="26.5703125" customWidth="1"/>
    <col min="9735" max="9741" width="11.5703125" bestFit="1" customWidth="1"/>
    <col min="9742" max="9742" width="11.7109375" customWidth="1"/>
    <col min="9743" max="9743" width="12" bestFit="1" customWidth="1"/>
    <col min="9745" max="9745" width="10.5703125" bestFit="1" customWidth="1"/>
    <col min="9985" max="9985" width="13.5703125" customWidth="1"/>
    <col min="9986" max="9986" width="29" customWidth="1"/>
    <col min="9987" max="9987" width="24.140625" customWidth="1"/>
    <col min="9988" max="9988" width="28.5703125" customWidth="1"/>
    <col min="9989" max="9989" width="24.5703125" customWidth="1"/>
    <col min="9990" max="9990" width="26.5703125" customWidth="1"/>
    <col min="9991" max="9997" width="11.5703125" bestFit="1" customWidth="1"/>
    <col min="9998" max="9998" width="11.7109375" customWidth="1"/>
    <col min="9999" max="9999" width="12" bestFit="1" customWidth="1"/>
    <col min="10001" max="10001" width="10.5703125" bestFit="1" customWidth="1"/>
    <col min="10241" max="10241" width="13.5703125" customWidth="1"/>
    <col min="10242" max="10242" width="29" customWidth="1"/>
    <col min="10243" max="10243" width="24.140625" customWidth="1"/>
    <col min="10244" max="10244" width="28.5703125" customWidth="1"/>
    <col min="10245" max="10245" width="24.5703125" customWidth="1"/>
    <col min="10246" max="10246" width="26.5703125" customWidth="1"/>
    <col min="10247" max="10253" width="11.5703125" bestFit="1" customWidth="1"/>
    <col min="10254" max="10254" width="11.7109375" customWidth="1"/>
    <col min="10255" max="10255" width="12" bestFit="1" customWidth="1"/>
    <col min="10257" max="10257" width="10.5703125" bestFit="1" customWidth="1"/>
    <col min="10497" max="10497" width="13.5703125" customWidth="1"/>
    <col min="10498" max="10498" width="29" customWidth="1"/>
    <col min="10499" max="10499" width="24.140625" customWidth="1"/>
    <col min="10500" max="10500" width="28.5703125" customWidth="1"/>
    <col min="10501" max="10501" width="24.5703125" customWidth="1"/>
    <col min="10502" max="10502" width="26.5703125" customWidth="1"/>
    <col min="10503" max="10509" width="11.5703125" bestFit="1" customWidth="1"/>
    <col min="10510" max="10510" width="11.7109375" customWidth="1"/>
    <col min="10511" max="10511" width="12" bestFit="1" customWidth="1"/>
    <col min="10513" max="10513" width="10.5703125" bestFit="1" customWidth="1"/>
    <col min="10753" max="10753" width="13.5703125" customWidth="1"/>
    <col min="10754" max="10754" width="29" customWidth="1"/>
    <col min="10755" max="10755" width="24.140625" customWidth="1"/>
    <col min="10756" max="10756" width="28.5703125" customWidth="1"/>
    <col min="10757" max="10757" width="24.5703125" customWidth="1"/>
    <col min="10758" max="10758" width="26.5703125" customWidth="1"/>
    <col min="10759" max="10765" width="11.5703125" bestFit="1" customWidth="1"/>
    <col min="10766" max="10766" width="11.7109375" customWidth="1"/>
    <col min="10767" max="10767" width="12" bestFit="1" customWidth="1"/>
    <col min="10769" max="10769" width="10.5703125" bestFit="1" customWidth="1"/>
    <col min="11009" max="11009" width="13.5703125" customWidth="1"/>
    <col min="11010" max="11010" width="29" customWidth="1"/>
    <col min="11011" max="11011" width="24.140625" customWidth="1"/>
    <col min="11012" max="11012" width="28.5703125" customWidth="1"/>
    <col min="11013" max="11013" width="24.5703125" customWidth="1"/>
    <col min="11014" max="11014" width="26.5703125" customWidth="1"/>
    <col min="11015" max="11021" width="11.5703125" bestFit="1" customWidth="1"/>
    <col min="11022" max="11022" width="11.7109375" customWidth="1"/>
    <col min="11023" max="11023" width="12" bestFit="1" customWidth="1"/>
    <col min="11025" max="11025" width="10.5703125" bestFit="1" customWidth="1"/>
    <col min="11265" max="11265" width="13.5703125" customWidth="1"/>
    <col min="11266" max="11266" width="29" customWidth="1"/>
    <col min="11267" max="11267" width="24.140625" customWidth="1"/>
    <col min="11268" max="11268" width="28.5703125" customWidth="1"/>
    <col min="11269" max="11269" width="24.5703125" customWidth="1"/>
    <col min="11270" max="11270" width="26.5703125" customWidth="1"/>
    <col min="11271" max="11277" width="11.5703125" bestFit="1" customWidth="1"/>
    <col min="11278" max="11278" width="11.7109375" customWidth="1"/>
    <col min="11279" max="11279" width="12" bestFit="1" customWidth="1"/>
    <col min="11281" max="11281" width="10.5703125" bestFit="1" customWidth="1"/>
    <col min="11521" max="11521" width="13.5703125" customWidth="1"/>
    <col min="11522" max="11522" width="29" customWidth="1"/>
    <col min="11523" max="11523" width="24.140625" customWidth="1"/>
    <col min="11524" max="11524" width="28.5703125" customWidth="1"/>
    <col min="11525" max="11525" width="24.5703125" customWidth="1"/>
    <col min="11526" max="11526" width="26.5703125" customWidth="1"/>
    <col min="11527" max="11533" width="11.5703125" bestFit="1" customWidth="1"/>
    <col min="11534" max="11534" width="11.7109375" customWidth="1"/>
    <col min="11535" max="11535" width="12" bestFit="1" customWidth="1"/>
    <col min="11537" max="11537" width="10.5703125" bestFit="1" customWidth="1"/>
    <col min="11777" max="11777" width="13.5703125" customWidth="1"/>
    <col min="11778" max="11778" width="29" customWidth="1"/>
    <col min="11779" max="11779" width="24.140625" customWidth="1"/>
    <col min="11780" max="11780" width="28.5703125" customWidth="1"/>
    <col min="11781" max="11781" width="24.5703125" customWidth="1"/>
    <col min="11782" max="11782" width="26.5703125" customWidth="1"/>
    <col min="11783" max="11789" width="11.5703125" bestFit="1" customWidth="1"/>
    <col min="11790" max="11790" width="11.7109375" customWidth="1"/>
    <col min="11791" max="11791" width="12" bestFit="1" customWidth="1"/>
    <col min="11793" max="11793" width="10.5703125" bestFit="1" customWidth="1"/>
    <col min="12033" max="12033" width="13.5703125" customWidth="1"/>
    <col min="12034" max="12034" width="29" customWidth="1"/>
    <col min="12035" max="12035" width="24.140625" customWidth="1"/>
    <col min="12036" max="12036" width="28.5703125" customWidth="1"/>
    <col min="12037" max="12037" width="24.5703125" customWidth="1"/>
    <col min="12038" max="12038" width="26.5703125" customWidth="1"/>
    <col min="12039" max="12045" width="11.5703125" bestFit="1" customWidth="1"/>
    <col min="12046" max="12046" width="11.7109375" customWidth="1"/>
    <col min="12047" max="12047" width="12" bestFit="1" customWidth="1"/>
    <col min="12049" max="12049" width="10.5703125" bestFit="1" customWidth="1"/>
    <col min="12289" max="12289" width="13.5703125" customWidth="1"/>
    <col min="12290" max="12290" width="29" customWidth="1"/>
    <col min="12291" max="12291" width="24.140625" customWidth="1"/>
    <col min="12292" max="12292" width="28.5703125" customWidth="1"/>
    <col min="12293" max="12293" width="24.5703125" customWidth="1"/>
    <col min="12294" max="12294" width="26.5703125" customWidth="1"/>
    <col min="12295" max="12301" width="11.5703125" bestFit="1" customWidth="1"/>
    <col min="12302" max="12302" width="11.7109375" customWidth="1"/>
    <col min="12303" max="12303" width="12" bestFit="1" customWidth="1"/>
    <col min="12305" max="12305" width="10.5703125" bestFit="1" customWidth="1"/>
    <col min="12545" max="12545" width="13.5703125" customWidth="1"/>
    <col min="12546" max="12546" width="29" customWidth="1"/>
    <col min="12547" max="12547" width="24.140625" customWidth="1"/>
    <col min="12548" max="12548" width="28.5703125" customWidth="1"/>
    <col min="12549" max="12549" width="24.5703125" customWidth="1"/>
    <col min="12550" max="12550" width="26.5703125" customWidth="1"/>
    <col min="12551" max="12557" width="11.5703125" bestFit="1" customWidth="1"/>
    <col min="12558" max="12558" width="11.7109375" customWidth="1"/>
    <col min="12559" max="12559" width="12" bestFit="1" customWidth="1"/>
    <col min="12561" max="12561" width="10.5703125" bestFit="1" customWidth="1"/>
    <col min="12801" max="12801" width="13.5703125" customWidth="1"/>
    <col min="12802" max="12802" width="29" customWidth="1"/>
    <col min="12803" max="12803" width="24.140625" customWidth="1"/>
    <col min="12804" max="12804" width="28.5703125" customWidth="1"/>
    <col min="12805" max="12805" width="24.5703125" customWidth="1"/>
    <col min="12806" max="12806" width="26.5703125" customWidth="1"/>
    <col min="12807" max="12813" width="11.5703125" bestFit="1" customWidth="1"/>
    <col min="12814" max="12814" width="11.7109375" customWidth="1"/>
    <col min="12815" max="12815" width="12" bestFit="1" customWidth="1"/>
    <col min="12817" max="12817" width="10.5703125" bestFit="1" customWidth="1"/>
    <col min="13057" max="13057" width="13.5703125" customWidth="1"/>
    <col min="13058" max="13058" width="29" customWidth="1"/>
    <col min="13059" max="13059" width="24.140625" customWidth="1"/>
    <col min="13060" max="13060" width="28.5703125" customWidth="1"/>
    <col min="13061" max="13061" width="24.5703125" customWidth="1"/>
    <col min="13062" max="13062" width="26.5703125" customWidth="1"/>
    <col min="13063" max="13069" width="11.5703125" bestFit="1" customWidth="1"/>
    <col min="13070" max="13070" width="11.7109375" customWidth="1"/>
    <col min="13071" max="13071" width="12" bestFit="1" customWidth="1"/>
    <col min="13073" max="13073" width="10.5703125" bestFit="1" customWidth="1"/>
    <col min="13313" max="13313" width="13.5703125" customWidth="1"/>
    <col min="13314" max="13314" width="29" customWidth="1"/>
    <col min="13315" max="13315" width="24.140625" customWidth="1"/>
    <col min="13316" max="13316" width="28.5703125" customWidth="1"/>
    <col min="13317" max="13317" width="24.5703125" customWidth="1"/>
    <col min="13318" max="13318" width="26.5703125" customWidth="1"/>
    <col min="13319" max="13325" width="11.5703125" bestFit="1" customWidth="1"/>
    <col min="13326" max="13326" width="11.7109375" customWidth="1"/>
    <col min="13327" max="13327" width="12" bestFit="1" customWidth="1"/>
    <col min="13329" max="13329" width="10.5703125" bestFit="1" customWidth="1"/>
    <col min="13569" max="13569" width="13.5703125" customWidth="1"/>
    <col min="13570" max="13570" width="29" customWidth="1"/>
    <col min="13571" max="13571" width="24.140625" customWidth="1"/>
    <col min="13572" max="13572" width="28.5703125" customWidth="1"/>
    <col min="13573" max="13573" width="24.5703125" customWidth="1"/>
    <col min="13574" max="13574" width="26.5703125" customWidth="1"/>
    <col min="13575" max="13581" width="11.5703125" bestFit="1" customWidth="1"/>
    <col min="13582" max="13582" width="11.7109375" customWidth="1"/>
    <col min="13583" max="13583" width="12" bestFit="1" customWidth="1"/>
    <col min="13585" max="13585" width="10.5703125" bestFit="1" customWidth="1"/>
    <col min="13825" max="13825" width="13.5703125" customWidth="1"/>
    <col min="13826" max="13826" width="29" customWidth="1"/>
    <col min="13827" max="13827" width="24.140625" customWidth="1"/>
    <col min="13828" max="13828" width="28.5703125" customWidth="1"/>
    <col min="13829" max="13829" width="24.5703125" customWidth="1"/>
    <col min="13830" max="13830" width="26.5703125" customWidth="1"/>
    <col min="13831" max="13837" width="11.5703125" bestFit="1" customWidth="1"/>
    <col min="13838" max="13838" width="11.7109375" customWidth="1"/>
    <col min="13839" max="13839" width="12" bestFit="1" customWidth="1"/>
    <col min="13841" max="13841" width="10.5703125" bestFit="1" customWidth="1"/>
    <col min="14081" max="14081" width="13.5703125" customWidth="1"/>
    <col min="14082" max="14082" width="29" customWidth="1"/>
    <col min="14083" max="14083" width="24.140625" customWidth="1"/>
    <col min="14084" max="14084" width="28.5703125" customWidth="1"/>
    <col min="14085" max="14085" width="24.5703125" customWidth="1"/>
    <col min="14086" max="14086" width="26.5703125" customWidth="1"/>
    <col min="14087" max="14093" width="11.5703125" bestFit="1" customWidth="1"/>
    <col min="14094" max="14094" width="11.7109375" customWidth="1"/>
    <col min="14095" max="14095" width="12" bestFit="1" customWidth="1"/>
    <col min="14097" max="14097" width="10.5703125" bestFit="1" customWidth="1"/>
    <col min="14337" max="14337" width="13.5703125" customWidth="1"/>
    <col min="14338" max="14338" width="29" customWidth="1"/>
    <col min="14339" max="14339" width="24.140625" customWidth="1"/>
    <col min="14340" max="14340" width="28.5703125" customWidth="1"/>
    <col min="14341" max="14341" width="24.5703125" customWidth="1"/>
    <col min="14342" max="14342" width="26.5703125" customWidth="1"/>
    <col min="14343" max="14349" width="11.5703125" bestFit="1" customWidth="1"/>
    <col min="14350" max="14350" width="11.7109375" customWidth="1"/>
    <col min="14351" max="14351" width="12" bestFit="1" customWidth="1"/>
    <col min="14353" max="14353" width="10.5703125" bestFit="1" customWidth="1"/>
    <col min="14593" max="14593" width="13.5703125" customWidth="1"/>
    <col min="14594" max="14594" width="29" customWidth="1"/>
    <col min="14595" max="14595" width="24.140625" customWidth="1"/>
    <col min="14596" max="14596" width="28.5703125" customWidth="1"/>
    <col min="14597" max="14597" width="24.5703125" customWidth="1"/>
    <col min="14598" max="14598" width="26.5703125" customWidth="1"/>
    <col min="14599" max="14605" width="11.5703125" bestFit="1" customWidth="1"/>
    <col min="14606" max="14606" width="11.7109375" customWidth="1"/>
    <col min="14607" max="14607" width="12" bestFit="1" customWidth="1"/>
    <col min="14609" max="14609" width="10.5703125" bestFit="1" customWidth="1"/>
    <col min="14849" max="14849" width="13.5703125" customWidth="1"/>
    <col min="14850" max="14850" width="29" customWidth="1"/>
    <col min="14851" max="14851" width="24.140625" customWidth="1"/>
    <col min="14852" max="14852" width="28.5703125" customWidth="1"/>
    <col min="14853" max="14853" width="24.5703125" customWidth="1"/>
    <col min="14854" max="14854" width="26.5703125" customWidth="1"/>
    <col min="14855" max="14861" width="11.5703125" bestFit="1" customWidth="1"/>
    <col min="14862" max="14862" width="11.7109375" customWidth="1"/>
    <col min="14863" max="14863" width="12" bestFit="1" customWidth="1"/>
    <col min="14865" max="14865" width="10.5703125" bestFit="1" customWidth="1"/>
    <col min="15105" max="15105" width="13.5703125" customWidth="1"/>
    <col min="15106" max="15106" width="29" customWidth="1"/>
    <col min="15107" max="15107" width="24.140625" customWidth="1"/>
    <col min="15108" max="15108" width="28.5703125" customWidth="1"/>
    <col min="15109" max="15109" width="24.5703125" customWidth="1"/>
    <col min="15110" max="15110" width="26.5703125" customWidth="1"/>
    <col min="15111" max="15117" width="11.5703125" bestFit="1" customWidth="1"/>
    <col min="15118" max="15118" width="11.7109375" customWidth="1"/>
    <col min="15119" max="15119" width="12" bestFit="1" customWidth="1"/>
    <col min="15121" max="15121" width="10.5703125" bestFit="1" customWidth="1"/>
    <col min="15361" max="15361" width="13.5703125" customWidth="1"/>
    <col min="15362" max="15362" width="29" customWidth="1"/>
    <col min="15363" max="15363" width="24.140625" customWidth="1"/>
    <col min="15364" max="15364" width="28.5703125" customWidth="1"/>
    <col min="15365" max="15365" width="24.5703125" customWidth="1"/>
    <col min="15366" max="15366" width="26.5703125" customWidth="1"/>
    <col min="15367" max="15373" width="11.5703125" bestFit="1" customWidth="1"/>
    <col min="15374" max="15374" width="11.7109375" customWidth="1"/>
    <col min="15375" max="15375" width="12" bestFit="1" customWidth="1"/>
    <col min="15377" max="15377" width="10.5703125" bestFit="1" customWidth="1"/>
    <col min="15617" max="15617" width="13.5703125" customWidth="1"/>
    <col min="15618" max="15618" width="29" customWidth="1"/>
    <col min="15619" max="15619" width="24.140625" customWidth="1"/>
    <col min="15620" max="15620" width="28.5703125" customWidth="1"/>
    <col min="15621" max="15621" width="24.5703125" customWidth="1"/>
    <col min="15622" max="15622" width="26.5703125" customWidth="1"/>
    <col min="15623" max="15629" width="11.5703125" bestFit="1" customWidth="1"/>
    <col min="15630" max="15630" width="11.7109375" customWidth="1"/>
    <col min="15631" max="15631" width="12" bestFit="1" customWidth="1"/>
    <col min="15633" max="15633" width="10.5703125" bestFit="1" customWidth="1"/>
    <col min="15873" max="15873" width="13.5703125" customWidth="1"/>
    <col min="15874" max="15874" width="29" customWidth="1"/>
    <col min="15875" max="15875" width="24.140625" customWidth="1"/>
    <col min="15876" max="15876" width="28.5703125" customWidth="1"/>
    <col min="15877" max="15877" width="24.5703125" customWidth="1"/>
    <col min="15878" max="15878" width="26.5703125" customWidth="1"/>
    <col min="15879" max="15885" width="11.5703125" bestFit="1" customWidth="1"/>
    <col min="15886" max="15886" width="11.7109375" customWidth="1"/>
    <col min="15887" max="15887" width="12" bestFit="1" customWidth="1"/>
    <col min="15889" max="15889" width="10.5703125" bestFit="1" customWidth="1"/>
    <col min="16129" max="16129" width="13.5703125" customWidth="1"/>
    <col min="16130" max="16130" width="29" customWidth="1"/>
    <col min="16131" max="16131" width="24.140625" customWidth="1"/>
    <col min="16132" max="16132" width="28.5703125" customWidth="1"/>
    <col min="16133" max="16133" width="24.5703125" customWidth="1"/>
    <col min="16134" max="16134" width="26.5703125" customWidth="1"/>
    <col min="16135" max="16141" width="11.5703125" bestFit="1" customWidth="1"/>
    <col min="16142" max="16142" width="11.7109375" customWidth="1"/>
    <col min="16143" max="16143" width="12" bestFit="1" customWidth="1"/>
    <col min="16145" max="16145" width="10.5703125" bestFit="1" customWidth="1"/>
  </cols>
  <sheetData>
    <row r="1" spans="1:15">
      <c r="A1" s="148" t="s">
        <v>18</v>
      </c>
      <c r="B1" s="148"/>
      <c r="C1" s="148"/>
      <c r="D1" s="148"/>
      <c r="E1" s="148"/>
      <c r="F1" s="148"/>
      <c r="G1" s="148"/>
      <c r="H1" s="58"/>
      <c r="I1" s="58"/>
      <c r="J1" s="58"/>
      <c r="K1" s="58"/>
      <c r="L1" s="58"/>
      <c r="M1" s="58"/>
      <c r="N1" s="58"/>
      <c r="O1" s="58"/>
    </row>
    <row r="2" spans="1:15">
      <c r="A2" s="148" t="s">
        <v>48</v>
      </c>
      <c r="B2" s="148"/>
      <c r="C2" s="148"/>
      <c r="D2" s="148"/>
      <c r="E2" s="148"/>
      <c r="F2" s="148"/>
      <c r="G2" s="148"/>
      <c r="H2" s="58"/>
      <c r="I2" s="58"/>
      <c r="J2" s="58"/>
      <c r="K2" s="58"/>
      <c r="L2" s="58"/>
      <c r="M2" s="58"/>
      <c r="N2" s="58"/>
      <c r="O2" s="58"/>
    </row>
    <row r="3" spans="1:15">
      <c r="A3" s="151" t="s">
        <v>45</v>
      </c>
      <c r="B3" s="151"/>
      <c r="C3" s="151"/>
      <c r="D3" s="151"/>
      <c r="E3" s="151"/>
      <c r="F3" s="151"/>
      <c r="G3" s="151"/>
      <c r="H3" s="58"/>
      <c r="I3" s="58"/>
      <c r="J3" s="58"/>
      <c r="K3" s="58"/>
      <c r="L3" s="58"/>
      <c r="M3" s="58"/>
      <c r="N3" s="58"/>
      <c r="O3" s="58"/>
    </row>
    <row r="4" spans="1:15">
      <c r="A4" s="18" t="s">
        <v>19</v>
      </c>
      <c r="B4" s="106">
        <v>2008</v>
      </c>
      <c r="C4" s="106">
        <v>2009</v>
      </c>
      <c r="D4" s="106">
        <v>2010</v>
      </c>
      <c r="E4" s="106">
        <v>2011</v>
      </c>
      <c r="F4" s="106">
        <v>2012</v>
      </c>
      <c r="G4" s="106">
        <v>2013</v>
      </c>
    </row>
    <row r="5" spans="1:15">
      <c r="A5" s="39" t="s">
        <v>36</v>
      </c>
      <c r="B5" s="40">
        <v>2030131</v>
      </c>
      <c r="C5" s="40">
        <v>1932314</v>
      </c>
      <c r="D5" s="40">
        <v>1881082</v>
      </c>
      <c r="E5" s="40">
        <v>1763422</v>
      </c>
      <c r="F5" s="40">
        <v>2018479.5889999997</v>
      </c>
      <c r="G5" s="46">
        <f>'2013'!N33</f>
        <v>2255852.7234999998</v>
      </c>
    </row>
    <row r="21" spans="1:1">
      <c r="A21" t="s">
        <v>21</v>
      </c>
    </row>
  </sheetData>
  <mergeCells count="3">
    <mergeCell ref="A1:G1"/>
    <mergeCell ref="A2:G2"/>
    <mergeCell ref="A3:G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4"/>
  <sheetViews>
    <sheetView topLeftCell="A121" zoomScale="80" zoomScaleNormal="80" workbookViewId="0">
      <selection activeCell="A134" sqref="A134"/>
    </sheetView>
  </sheetViews>
  <sheetFormatPr defaultRowHeight="15"/>
  <cols>
    <col min="1" max="1" width="34.85546875" bestFit="1" customWidth="1"/>
    <col min="2" max="2" width="13.42578125" bestFit="1" customWidth="1"/>
    <col min="3" max="3" width="12.140625" bestFit="1" customWidth="1"/>
    <col min="4" max="13" width="13.28515625" bestFit="1" customWidth="1"/>
    <col min="14" max="14" width="14.28515625" bestFit="1" customWidth="1"/>
  </cols>
  <sheetData>
    <row r="1" spans="1:14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>
      <c r="A2" s="156" t="s">
        <v>22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>
      <c r="A3" s="148" t="s">
        <v>45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s="9" customFormat="1">
      <c r="A4" s="158">
        <v>2010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8"/>
    </row>
    <row r="5" spans="1:14">
      <c r="A5" s="1"/>
      <c r="B5" s="10" t="s">
        <v>2</v>
      </c>
      <c r="C5" s="10" t="s">
        <v>4</v>
      </c>
      <c r="D5" s="10" t="s">
        <v>3</v>
      </c>
      <c r="E5" s="10" t="s">
        <v>5</v>
      </c>
      <c r="F5" s="10" t="s">
        <v>6</v>
      </c>
      <c r="G5" s="10" t="s">
        <v>7</v>
      </c>
      <c r="H5" s="26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0" t="s">
        <v>13</v>
      </c>
      <c r="N5" s="11" t="s">
        <v>20</v>
      </c>
    </row>
    <row r="6" spans="1:14">
      <c r="A6" s="16" t="s">
        <v>24</v>
      </c>
      <c r="B6" s="17">
        <f>SUM(B7:B8)</f>
        <v>1495757</v>
      </c>
      <c r="C6" s="17">
        <f t="shared" ref="C6:N6" si="0">SUM(C7:C8)</f>
        <v>971844</v>
      </c>
      <c r="D6" s="17">
        <f t="shared" si="0"/>
        <v>1310131</v>
      </c>
      <c r="E6" s="17">
        <f t="shared" si="0"/>
        <v>1244928</v>
      </c>
      <c r="F6" s="17">
        <f t="shared" si="0"/>
        <v>1444930</v>
      </c>
      <c r="G6" s="17">
        <f t="shared" si="0"/>
        <v>1417509</v>
      </c>
      <c r="H6" s="17">
        <f t="shared" si="0"/>
        <v>1467233</v>
      </c>
      <c r="I6" s="17">
        <f t="shared" si="0"/>
        <v>1582785</v>
      </c>
      <c r="J6" s="17">
        <f t="shared" si="0"/>
        <v>1663575</v>
      </c>
      <c r="K6" s="17">
        <f t="shared" si="0"/>
        <v>1199554</v>
      </c>
      <c r="L6" s="17">
        <f t="shared" si="0"/>
        <v>1151291</v>
      </c>
      <c r="M6" s="17">
        <f t="shared" si="0"/>
        <v>1107667</v>
      </c>
      <c r="N6" s="17">
        <f t="shared" si="0"/>
        <v>16057204</v>
      </c>
    </row>
    <row r="7" spans="1:14">
      <c r="A7" s="1" t="s">
        <v>1</v>
      </c>
      <c r="B7" s="2">
        <v>1234842</v>
      </c>
      <c r="C7" s="2">
        <v>771776</v>
      </c>
      <c r="D7" s="2">
        <v>1003708</v>
      </c>
      <c r="E7" s="2">
        <v>1019013</v>
      </c>
      <c r="F7" s="2">
        <v>1193948</v>
      </c>
      <c r="G7" s="2">
        <v>1097453</v>
      </c>
      <c r="H7" s="2">
        <v>1134775</v>
      </c>
      <c r="I7" s="2">
        <v>1228344</v>
      </c>
      <c r="J7" s="2">
        <v>1238292</v>
      </c>
      <c r="K7" s="3">
        <v>801382</v>
      </c>
      <c r="L7" s="3">
        <v>897993</v>
      </c>
      <c r="M7" s="3">
        <v>823304</v>
      </c>
      <c r="N7" s="12">
        <f>SUM(B7:M7)</f>
        <v>12444830</v>
      </c>
    </row>
    <row r="8" spans="1:14">
      <c r="A8" s="1" t="s">
        <v>17</v>
      </c>
      <c r="B8" s="2">
        <v>260915</v>
      </c>
      <c r="C8" s="2">
        <v>200068</v>
      </c>
      <c r="D8" s="2">
        <v>306423</v>
      </c>
      <c r="E8" s="2">
        <v>225915</v>
      </c>
      <c r="F8" s="2">
        <v>250982</v>
      </c>
      <c r="G8" s="2">
        <v>320056</v>
      </c>
      <c r="H8" s="2">
        <v>332458</v>
      </c>
      <c r="I8" s="2">
        <v>354441</v>
      </c>
      <c r="J8" s="2">
        <v>425283</v>
      </c>
      <c r="K8" s="3">
        <v>398172</v>
      </c>
      <c r="L8" s="3">
        <v>253298</v>
      </c>
      <c r="M8" s="3">
        <v>284363</v>
      </c>
      <c r="N8" s="12">
        <f>SUM(B8:M8)</f>
        <v>3612374</v>
      </c>
    </row>
    <row r="9" spans="1:14">
      <c r="A9" s="16" t="s">
        <v>67</v>
      </c>
      <c r="B9" s="112">
        <f>B8/B6</f>
        <v>0.1744367567726576</v>
      </c>
      <c r="C9" s="112">
        <f t="shared" ref="C9:N9" si="1">C8/C6</f>
        <v>0.20586431567206259</v>
      </c>
      <c r="D9" s="112">
        <f t="shared" si="1"/>
        <v>0.23388729829307145</v>
      </c>
      <c r="E9" s="112">
        <f t="shared" si="1"/>
        <v>0.18146832587908698</v>
      </c>
      <c r="F9" s="112">
        <f t="shared" si="1"/>
        <v>0.17369837985231118</v>
      </c>
      <c r="G9" s="112">
        <f t="shared" si="1"/>
        <v>0.22578763168346727</v>
      </c>
      <c r="H9" s="112">
        <f t="shared" si="1"/>
        <v>0.22658841506427405</v>
      </c>
      <c r="I9" s="112">
        <f t="shared" si="1"/>
        <v>0.22393502591950265</v>
      </c>
      <c r="J9" s="112">
        <f t="shared" si="1"/>
        <v>0.25564401965646272</v>
      </c>
      <c r="K9" s="112">
        <f t="shared" si="1"/>
        <v>0.33193336856865135</v>
      </c>
      <c r="L9" s="112">
        <f t="shared" si="1"/>
        <v>0.22001214289002519</v>
      </c>
      <c r="M9" s="112">
        <f t="shared" si="1"/>
        <v>0.25672246261737508</v>
      </c>
      <c r="N9" s="112">
        <f t="shared" si="1"/>
        <v>0.22496905438829823</v>
      </c>
    </row>
    <row r="10" spans="1:14">
      <c r="A10" s="27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27" spans="1:14">
      <c r="A27" s="148" t="s">
        <v>0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</row>
    <row r="28" spans="1:14">
      <c r="A28" s="148" t="s">
        <v>23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</row>
    <row r="29" spans="1:14">
      <c r="A29" s="148" t="s">
        <v>45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</row>
    <row r="30" spans="1:14">
      <c r="A30" s="157">
        <v>2010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6"/>
    </row>
    <row r="31" spans="1:14">
      <c r="A31" s="5"/>
      <c r="B31" s="10" t="s">
        <v>2</v>
      </c>
      <c r="C31" s="10" t="s">
        <v>4</v>
      </c>
      <c r="D31" s="10" t="s">
        <v>3</v>
      </c>
      <c r="E31" s="10" t="s">
        <v>5</v>
      </c>
      <c r="F31" s="10" t="s">
        <v>6</v>
      </c>
      <c r="G31" s="10" t="s">
        <v>7</v>
      </c>
      <c r="H31" s="26" t="s">
        <v>8</v>
      </c>
      <c r="I31" s="10" t="s">
        <v>9</v>
      </c>
      <c r="J31" s="10" t="s">
        <v>10</v>
      </c>
      <c r="K31" s="10" t="s">
        <v>11</v>
      </c>
      <c r="L31" s="10" t="s">
        <v>12</v>
      </c>
      <c r="M31" s="10" t="s">
        <v>13</v>
      </c>
      <c r="N31" s="11" t="s">
        <v>20</v>
      </c>
    </row>
    <row r="32" spans="1:14">
      <c r="A32" s="16" t="s">
        <v>24</v>
      </c>
      <c r="B32" s="15">
        <f>SUM(B33:B34)</f>
        <v>126059</v>
      </c>
      <c r="C32" s="15">
        <f t="shared" ref="C32:M32" si="2">SUM(C33:C34)</f>
        <v>119591</v>
      </c>
      <c r="D32" s="15">
        <f t="shared" si="2"/>
        <v>134015</v>
      </c>
      <c r="E32" s="15">
        <f t="shared" si="2"/>
        <v>142096</v>
      </c>
      <c r="F32" s="15">
        <f t="shared" si="2"/>
        <v>132188</v>
      </c>
      <c r="G32" s="15">
        <f t="shared" si="2"/>
        <v>151393</v>
      </c>
      <c r="H32" s="15">
        <f t="shared" si="2"/>
        <v>139722</v>
      </c>
      <c r="I32" s="15">
        <f t="shared" si="2"/>
        <v>215399</v>
      </c>
      <c r="J32" s="15">
        <f t="shared" si="2"/>
        <v>210517</v>
      </c>
      <c r="K32" s="15">
        <f t="shared" si="2"/>
        <v>204353</v>
      </c>
      <c r="L32" s="15">
        <f t="shared" si="2"/>
        <v>154850</v>
      </c>
      <c r="M32" s="15">
        <f t="shared" si="2"/>
        <v>150899</v>
      </c>
      <c r="N32" s="15">
        <f>SUM(N33:N34)</f>
        <v>1881082</v>
      </c>
    </row>
    <row r="33" spans="1:14">
      <c r="A33" s="5" t="s">
        <v>1</v>
      </c>
      <c r="B33" s="13">
        <v>81361</v>
      </c>
      <c r="C33" s="13">
        <v>78843</v>
      </c>
      <c r="D33" s="13">
        <v>91138</v>
      </c>
      <c r="E33" s="13">
        <v>107766</v>
      </c>
      <c r="F33" s="13">
        <v>97004</v>
      </c>
      <c r="G33" s="13">
        <v>118909</v>
      </c>
      <c r="H33" s="13">
        <v>104024</v>
      </c>
      <c r="I33" s="13">
        <v>126442</v>
      </c>
      <c r="J33" s="13">
        <v>122818</v>
      </c>
      <c r="K33" s="13">
        <v>124712</v>
      </c>
      <c r="L33" s="13">
        <v>104445</v>
      </c>
      <c r="M33" s="13">
        <v>114453</v>
      </c>
      <c r="N33" s="14">
        <f>SUM(B33:M33)</f>
        <v>1271915</v>
      </c>
    </row>
    <row r="34" spans="1:14">
      <c r="A34" s="5" t="s">
        <v>17</v>
      </c>
      <c r="B34" s="13">
        <v>44698</v>
      </c>
      <c r="C34" s="13">
        <v>40748</v>
      </c>
      <c r="D34" s="13">
        <v>42877</v>
      </c>
      <c r="E34" s="13">
        <v>34330</v>
      </c>
      <c r="F34" s="13">
        <v>35184</v>
      </c>
      <c r="G34" s="13">
        <v>32484</v>
      </c>
      <c r="H34" s="13">
        <v>35698</v>
      </c>
      <c r="I34" s="13">
        <v>88957</v>
      </c>
      <c r="J34" s="13">
        <v>87699</v>
      </c>
      <c r="K34" s="13">
        <v>79641</v>
      </c>
      <c r="L34" s="13">
        <v>50405</v>
      </c>
      <c r="M34" s="13">
        <v>36446</v>
      </c>
      <c r="N34" s="14">
        <f>SUM(B34:M34)</f>
        <v>609167</v>
      </c>
    </row>
    <row r="35" spans="1:14">
      <c r="A35" s="113" t="s">
        <v>67</v>
      </c>
      <c r="B35" s="114">
        <f>B34/B32</f>
        <v>0.35457999825478548</v>
      </c>
      <c r="C35" s="114">
        <f t="shared" ref="C35:N35" si="3">C34/C32</f>
        <v>0.34072798120259884</v>
      </c>
      <c r="D35" s="114">
        <f t="shared" si="3"/>
        <v>0.31994179755997465</v>
      </c>
      <c r="E35" s="114">
        <f t="shared" si="3"/>
        <v>0.24159723004166198</v>
      </c>
      <c r="F35" s="114">
        <f t="shared" si="3"/>
        <v>0.26616636911066055</v>
      </c>
      <c r="G35" s="114">
        <f t="shared" si="3"/>
        <v>0.21456738422516233</v>
      </c>
      <c r="H35" s="114">
        <f t="shared" si="3"/>
        <v>0.25549305048596499</v>
      </c>
      <c r="I35" s="114">
        <f t="shared" si="3"/>
        <v>0.41298706122126844</v>
      </c>
      <c r="J35" s="114">
        <f t="shared" si="3"/>
        <v>0.41658868404926919</v>
      </c>
      <c r="K35" s="114">
        <f t="shared" si="3"/>
        <v>0.38972268574476521</v>
      </c>
      <c r="L35" s="114">
        <f t="shared" si="3"/>
        <v>0.32550855666774298</v>
      </c>
      <c r="M35" s="114">
        <f t="shared" si="3"/>
        <v>0.24152578877262273</v>
      </c>
      <c r="N35" s="114">
        <f t="shared" si="3"/>
        <v>0.3238386205386049</v>
      </c>
    </row>
    <row r="55" spans="1:14">
      <c r="A55" s="149" t="s">
        <v>32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</row>
    <row r="56" spans="1:14">
      <c r="A56" s="150" t="s">
        <v>25</v>
      </c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</row>
    <row r="57" spans="1:14">
      <c r="A57" s="1"/>
      <c r="B57" s="1" t="s">
        <v>2</v>
      </c>
      <c r="C57" s="1" t="s">
        <v>4</v>
      </c>
      <c r="D57" s="1" t="s">
        <v>3</v>
      </c>
      <c r="E57" s="1" t="s">
        <v>5</v>
      </c>
      <c r="F57" s="1" t="s">
        <v>6</v>
      </c>
      <c r="G57" s="1" t="s">
        <v>7</v>
      </c>
      <c r="H57" s="1" t="s">
        <v>8</v>
      </c>
      <c r="I57" s="1" t="s">
        <v>9</v>
      </c>
      <c r="J57" s="1" t="s">
        <v>10</v>
      </c>
      <c r="K57" s="1" t="s">
        <v>11</v>
      </c>
      <c r="L57" s="1" t="s">
        <v>12</v>
      </c>
      <c r="M57" s="1" t="s">
        <v>13</v>
      </c>
      <c r="N57" s="7" t="s">
        <v>36</v>
      </c>
    </row>
    <row r="58" spans="1:14" s="78" customFormat="1">
      <c r="A58" s="79" t="s">
        <v>52</v>
      </c>
      <c r="B58" s="76">
        <f>B59+B60</f>
        <v>1495757</v>
      </c>
      <c r="C58" s="76">
        <f t="shared" ref="C58:L58" si="4">C59+C60</f>
        <v>971843</v>
      </c>
      <c r="D58" s="76">
        <f t="shared" si="4"/>
        <v>1310131</v>
      </c>
      <c r="E58" s="76">
        <f t="shared" si="4"/>
        <v>1244928</v>
      </c>
      <c r="F58" s="76">
        <f t="shared" si="4"/>
        <v>1444930</v>
      </c>
      <c r="G58" s="76">
        <f t="shared" si="4"/>
        <v>1417508</v>
      </c>
      <c r="H58" s="76">
        <f t="shared" si="4"/>
        <v>1425822</v>
      </c>
      <c r="I58" s="76">
        <f t="shared" si="4"/>
        <v>1582785</v>
      </c>
      <c r="J58" s="76">
        <f t="shared" si="4"/>
        <v>1663575</v>
      </c>
      <c r="K58" s="76">
        <f t="shared" si="4"/>
        <v>1199554</v>
      </c>
      <c r="L58" s="76">
        <f t="shared" si="4"/>
        <v>1151291</v>
      </c>
      <c r="M58" s="76">
        <f>M59+M60</f>
        <v>1107667</v>
      </c>
      <c r="N58" s="77">
        <f>N59+N60</f>
        <v>16015791</v>
      </c>
    </row>
    <row r="59" spans="1:14">
      <c r="A59" s="21" t="s">
        <v>26</v>
      </c>
      <c r="B59" s="22">
        <v>413101</v>
      </c>
      <c r="C59" s="22">
        <v>410946</v>
      </c>
      <c r="D59" s="22">
        <v>506850</v>
      </c>
      <c r="E59" s="22">
        <v>449462</v>
      </c>
      <c r="F59" s="22">
        <v>418006</v>
      </c>
      <c r="G59" s="22">
        <v>392920</v>
      </c>
      <c r="H59" s="22">
        <v>463366</v>
      </c>
      <c r="I59" s="22">
        <v>468375</v>
      </c>
      <c r="J59" s="22">
        <v>542198</v>
      </c>
      <c r="K59" s="22">
        <v>410510</v>
      </c>
      <c r="L59" s="22">
        <v>469813</v>
      </c>
      <c r="M59" s="22">
        <v>333371</v>
      </c>
      <c r="N59" s="32">
        <f>SUM(B59:M59)</f>
        <v>5278918</v>
      </c>
    </row>
    <row r="60" spans="1:14">
      <c r="A60" s="23" t="s">
        <v>27</v>
      </c>
      <c r="B60" s="22">
        <v>1082656</v>
      </c>
      <c r="C60" s="22">
        <v>560897</v>
      </c>
      <c r="D60" s="22">
        <v>803281</v>
      </c>
      <c r="E60" s="22">
        <v>795466</v>
      </c>
      <c r="F60" s="22">
        <v>1026924</v>
      </c>
      <c r="G60" s="22">
        <v>1024588</v>
      </c>
      <c r="H60" s="22">
        <v>962456</v>
      </c>
      <c r="I60" s="22">
        <v>1114410</v>
      </c>
      <c r="J60" s="22">
        <v>1121377</v>
      </c>
      <c r="K60" s="22">
        <v>789044</v>
      </c>
      <c r="L60" s="22">
        <v>681478</v>
      </c>
      <c r="M60" s="22">
        <v>774296</v>
      </c>
      <c r="N60" s="32">
        <f>SUM(B60:M60)</f>
        <v>10736873</v>
      </c>
    </row>
    <row r="79" spans="1:14">
      <c r="A79" s="155" t="s">
        <v>30</v>
      </c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</row>
    <row r="80" spans="1:14">
      <c r="A80" s="154" t="s">
        <v>25</v>
      </c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</row>
    <row r="81" spans="1:14">
      <c r="A81" s="1"/>
      <c r="B81" s="1" t="s">
        <v>2</v>
      </c>
      <c r="C81" s="1" t="s">
        <v>4</v>
      </c>
      <c r="D81" s="1" t="s">
        <v>3</v>
      </c>
      <c r="E81" s="1" t="s">
        <v>5</v>
      </c>
      <c r="F81" s="1" t="s">
        <v>6</v>
      </c>
      <c r="G81" s="1" t="s">
        <v>7</v>
      </c>
      <c r="H81" s="1" t="s">
        <v>8</v>
      </c>
      <c r="I81" s="1" t="s">
        <v>9</v>
      </c>
      <c r="J81" s="1" t="s">
        <v>10</v>
      </c>
      <c r="K81" s="1" t="s">
        <v>11</v>
      </c>
      <c r="L81" s="1" t="s">
        <v>12</v>
      </c>
      <c r="M81" s="1" t="s">
        <v>13</v>
      </c>
      <c r="N81" s="7" t="s">
        <v>36</v>
      </c>
    </row>
    <row r="82" spans="1:14">
      <c r="A82" s="19" t="s">
        <v>28</v>
      </c>
      <c r="B82" s="24">
        <f>32106830912/1000</f>
        <v>32106830.912</v>
      </c>
      <c r="C82" s="24">
        <f>34797404341/1000</f>
        <v>34797404.340999998</v>
      </c>
      <c r="D82" s="24">
        <f>42763902942/1000</f>
        <v>42763902.942000002</v>
      </c>
      <c r="E82" s="24">
        <f>37357379671/1000</f>
        <v>37357379.670999996</v>
      </c>
      <c r="F82" s="24">
        <f>42227405751/1000</f>
        <v>42227405.751000002</v>
      </c>
      <c r="G82" s="24">
        <f>41021816082/1000</f>
        <v>41021816.082000002</v>
      </c>
      <c r="H82" s="24">
        <f>41839984925/1000</f>
        <v>41839984.924999997</v>
      </c>
      <c r="I82" s="24">
        <f>47671023382/1000</f>
        <v>47671023.381999999</v>
      </c>
      <c r="J82" s="24">
        <f>44882518781/1000</f>
        <v>44882518.781000003</v>
      </c>
      <c r="K82" s="24">
        <f>44909707547/1000</f>
        <v>44909707.546999998</v>
      </c>
      <c r="L82" s="24">
        <f>40074024825/1000</f>
        <v>40074024.825000003</v>
      </c>
      <c r="M82" s="24">
        <f>49721529575/1000</f>
        <v>49721529.575000003</v>
      </c>
      <c r="N82" s="32">
        <f>SUM(B82:M82)</f>
        <v>499373528.73400003</v>
      </c>
    </row>
    <row r="83" spans="1:14">
      <c r="A83" s="18" t="s">
        <v>29</v>
      </c>
      <c r="B83" s="22">
        <v>1082656</v>
      </c>
      <c r="C83" s="22">
        <v>560897</v>
      </c>
      <c r="D83" s="22">
        <v>803281</v>
      </c>
      <c r="E83" s="22">
        <v>795466</v>
      </c>
      <c r="F83" s="22">
        <v>1026924</v>
      </c>
      <c r="G83" s="22">
        <v>1024588</v>
      </c>
      <c r="H83" s="22">
        <v>962456</v>
      </c>
      <c r="I83" s="22">
        <v>1114410</v>
      </c>
      <c r="J83" s="22">
        <v>1121377</v>
      </c>
      <c r="K83" s="22">
        <v>789044</v>
      </c>
      <c r="L83" s="22">
        <v>681478</v>
      </c>
      <c r="M83" s="22">
        <v>774296</v>
      </c>
      <c r="N83" s="32">
        <f>SUM(B83:M83)</f>
        <v>10736873</v>
      </c>
    </row>
    <row r="84" spans="1:14">
      <c r="A84" s="115" t="s">
        <v>39</v>
      </c>
      <c r="B84" s="112">
        <f>B83/B82</f>
        <v>3.3720425505942876E-2</v>
      </c>
      <c r="C84" s="112">
        <f t="shared" ref="C84:N84" si="5">C83/C82</f>
        <v>1.6118932162394763E-2</v>
      </c>
      <c r="D84" s="112">
        <f t="shared" si="5"/>
        <v>1.8784089962262732E-2</v>
      </c>
      <c r="E84" s="112">
        <f t="shared" si="5"/>
        <v>2.1293409950203467E-2</v>
      </c>
      <c r="F84" s="112">
        <f t="shared" si="5"/>
        <v>2.4318898633162684E-2</v>
      </c>
      <c r="G84" s="112">
        <f t="shared" si="5"/>
        <v>2.4976661149080131E-2</v>
      </c>
      <c r="H84" s="112">
        <f t="shared" si="5"/>
        <v>2.3003258766111999E-2</v>
      </c>
      <c r="I84" s="112">
        <f t="shared" si="5"/>
        <v>2.3377094111656678E-2</v>
      </c>
      <c r="J84" s="112">
        <f t="shared" si="5"/>
        <v>2.4984716331800647E-2</v>
      </c>
      <c r="K84" s="112">
        <f t="shared" si="5"/>
        <v>1.7569564423776985E-2</v>
      </c>
      <c r="L84" s="112">
        <f t="shared" si="5"/>
        <v>1.7005479309252287E-2</v>
      </c>
      <c r="M84" s="112">
        <f t="shared" si="5"/>
        <v>1.5572650451793749E-2</v>
      </c>
      <c r="N84" s="112">
        <f t="shared" si="5"/>
        <v>2.1500685122857566E-2</v>
      </c>
    </row>
    <row r="85" spans="1:14">
      <c r="N85" s="50"/>
    </row>
    <row r="104" spans="1:14">
      <c r="A104" s="155" t="s">
        <v>31</v>
      </c>
      <c r="B104" s="155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</row>
    <row r="105" spans="1:14">
      <c r="A105" s="154" t="s">
        <v>25</v>
      </c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</row>
    <row r="106" spans="1:14">
      <c r="A106" s="1"/>
      <c r="B106" s="1" t="s">
        <v>2</v>
      </c>
      <c r="C106" s="1" t="s">
        <v>4</v>
      </c>
      <c r="D106" s="1" t="s">
        <v>3</v>
      </c>
      <c r="E106" s="1" t="s">
        <v>5</v>
      </c>
      <c r="F106" s="1" t="s">
        <v>6</v>
      </c>
      <c r="G106" s="1" t="s">
        <v>7</v>
      </c>
      <c r="H106" s="1" t="s">
        <v>8</v>
      </c>
      <c r="I106" s="1" t="s">
        <v>9</v>
      </c>
      <c r="J106" s="1" t="s">
        <v>10</v>
      </c>
      <c r="K106" s="1" t="s">
        <v>11</v>
      </c>
      <c r="L106" s="1" t="s">
        <v>12</v>
      </c>
      <c r="M106" s="1" t="s">
        <v>13</v>
      </c>
      <c r="N106" s="7" t="s">
        <v>36</v>
      </c>
    </row>
    <row r="107" spans="1:14">
      <c r="A107" s="19" t="s">
        <v>28</v>
      </c>
      <c r="B107" s="22">
        <f>7960215867/1000</f>
        <v>7960215.8669999996</v>
      </c>
      <c r="C107" s="22">
        <f>8563757312/1000</f>
        <v>8563757.3120000008</v>
      </c>
      <c r="D107" s="22">
        <f>9663781005/1000</f>
        <v>9663781.0050000008</v>
      </c>
      <c r="E107" s="22">
        <f>10394943061/1000</f>
        <v>10394943.061000001</v>
      </c>
      <c r="F107" s="22">
        <f>9438069622/1000</f>
        <v>9438069.6219999995</v>
      </c>
      <c r="G107" s="22">
        <f>9898109224/1000</f>
        <v>9898109.2239999995</v>
      </c>
      <c r="H107" s="22">
        <f>11868268652/1000</f>
        <v>11868268.652000001</v>
      </c>
      <c r="I107" s="22">
        <f>10611456154/1000</f>
        <v>10611456.153999999</v>
      </c>
      <c r="J107" s="22">
        <f>11909769745/1000</f>
        <v>11909769.744999999</v>
      </c>
      <c r="K107" s="22">
        <f>11215971043/1000</f>
        <v>11215971.043</v>
      </c>
      <c r="L107" s="22">
        <f>11276168083/1000</f>
        <v>11276168.083000001</v>
      </c>
      <c r="M107" s="22">
        <f>8926963519/1000</f>
        <v>8926963.5189999994</v>
      </c>
      <c r="N107" s="32">
        <f>SUM(B107:M107)</f>
        <v>121727473.287</v>
      </c>
    </row>
    <row r="108" spans="1:14">
      <c r="A108" s="18" t="s">
        <v>29</v>
      </c>
      <c r="B108" s="22">
        <v>413101</v>
      </c>
      <c r="C108" s="22">
        <v>410946</v>
      </c>
      <c r="D108" s="22">
        <v>506850</v>
      </c>
      <c r="E108" s="22">
        <v>449462</v>
      </c>
      <c r="F108" s="22">
        <v>418006</v>
      </c>
      <c r="G108" s="22">
        <v>392920</v>
      </c>
      <c r="H108" s="22">
        <v>463366</v>
      </c>
      <c r="I108" s="22">
        <v>468375</v>
      </c>
      <c r="J108" s="22">
        <v>542198</v>
      </c>
      <c r="K108" s="22">
        <v>410510</v>
      </c>
      <c r="L108" s="22">
        <v>469813</v>
      </c>
      <c r="M108" s="22">
        <v>333371</v>
      </c>
      <c r="N108" s="32">
        <f>SUM(B108:M108)</f>
        <v>5278918</v>
      </c>
    </row>
    <row r="109" spans="1:14">
      <c r="A109" s="115" t="s">
        <v>39</v>
      </c>
      <c r="B109" s="112">
        <f>B108/B107</f>
        <v>5.1895703194753576E-2</v>
      </c>
      <c r="C109" s="112">
        <f t="shared" ref="C109:N109" si="6">C108/C107</f>
        <v>4.7986647102219976E-2</v>
      </c>
      <c r="D109" s="112">
        <f t="shared" si="6"/>
        <v>5.2448415349826104E-2</v>
      </c>
      <c r="E109" s="112">
        <f t="shared" si="6"/>
        <v>4.3238524478917295E-2</v>
      </c>
      <c r="F109" s="112">
        <f t="shared" si="6"/>
        <v>4.4289353304370019E-2</v>
      </c>
      <c r="G109" s="112">
        <f t="shared" si="6"/>
        <v>3.969647041753032E-2</v>
      </c>
      <c r="H109" s="112">
        <f t="shared" si="6"/>
        <v>3.9042425949964918E-2</v>
      </c>
      <c r="I109" s="112">
        <f t="shared" si="6"/>
        <v>4.4138617094831564E-2</v>
      </c>
      <c r="J109" s="112">
        <f t="shared" si="6"/>
        <v>4.5525481315675936E-2</v>
      </c>
      <c r="K109" s="112">
        <f t="shared" si="6"/>
        <v>3.6600486790325966E-2</v>
      </c>
      <c r="L109" s="112">
        <f t="shared" si="6"/>
        <v>4.1664242368672395E-2</v>
      </c>
      <c r="M109" s="112">
        <f t="shared" si="6"/>
        <v>3.7344277176719579E-2</v>
      </c>
      <c r="N109" s="112">
        <f t="shared" si="6"/>
        <v>4.3366693298182234E-2</v>
      </c>
    </row>
    <row r="127" spans="1:14">
      <c r="A127" s="152" t="s">
        <v>60</v>
      </c>
      <c r="B127" s="152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</row>
    <row r="128" spans="1:14">
      <c r="A128" s="153" t="s">
        <v>25</v>
      </c>
      <c r="B128" s="153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</row>
    <row r="129" spans="1:14">
      <c r="A129" s="98"/>
      <c r="B129" s="93" t="s">
        <v>2</v>
      </c>
      <c r="C129" s="93" t="s">
        <v>4</v>
      </c>
      <c r="D129" s="93" t="s">
        <v>3</v>
      </c>
      <c r="E129" s="93" t="s">
        <v>5</v>
      </c>
      <c r="F129" s="93" t="s">
        <v>6</v>
      </c>
      <c r="G129" s="93" t="s">
        <v>7</v>
      </c>
      <c r="H129" s="93" t="s">
        <v>8</v>
      </c>
      <c r="I129" s="93" t="s">
        <v>9</v>
      </c>
      <c r="J129" s="93" t="s">
        <v>10</v>
      </c>
      <c r="K129" s="93" t="s">
        <v>11</v>
      </c>
      <c r="L129" s="93" t="s">
        <v>12</v>
      </c>
      <c r="M129" s="93" t="s">
        <v>13</v>
      </c>
      <c r="N129" s="94" t="s">
        <v>36</v>
      </c>
    </row>
    <row r="130" spans="1:14">
      <c r="A130" s="19" t="s">
        <v>28</v>
      </c>
      <c r="B130" s="102">
        <f>B82+B107</f>
        <v>40067046.778999999</v>
      </c>
      <c r="C130" s="102">
        <f t="shared" ref="C130:N130" si="7">C82+C107</f>
        <v>43361161.652999997</v>
      </c>
      <c r="D130" s="102">
        <f t="shared" si="7"/>
        <v>52427683.947000004</v>
      </c>
      <c r="E130" s="102">
        <f t="shared" si="7"/>
        <v>47752322.731999993</v>
      </c>
      <c r="F130" s="102">
        <f t="shared" si="7"/>
        <v>51665475.373000003</v>
      </c>
      <c r="G130" s="102">
        <f t="shared" si="7"/>
        <v>50919925.306000002</v>
      </c>
      <c r="H130" s="102">
        <f t="shared" si="7"/>
        <v>53708253.577</v>
      </c>
      <c r="I130" s="102">
        <f t="shared" si="7"/>
        <v>58282479.535999998</v>
      </c>
      <c r="J130" s="102">
        <f t="shared" si="7"/>
        <v>56792288.526000001</v>
      </c>
      <c r="K130" s="102">
        <f t="shared" si="7"/>
        <v>56125678.589999996</v>
      </c>
      <c r="L130" s="102">
        <f t="shared" si="7"/>
        <v>51350192.908000007</v>
      </c>
      <c r="M130" s="102">
        <f t="shared" si="7"/>
        <v>58648493.094000004</v>
      </c>
      <c r="N130" s="102">
        <f t="shared" si="7"/>
        <v>621101002.02100003</v>
      </c>
    </row>
    <row r="131" spans="1:14">
      <c r="A131" s="18" t="s">
        <v>29</v>
      </c>
      <c r="B131" s="117">
        <f>B58</f>
        <v>1495757</v>
      </c>
      <c r="C131" s="117">
        <f t="shared" ref="C131:N131" si="8">C58</f>
        <v>971843</v>
      </c>
      <c r="D131" s="117">
        <f t="shared" si="8"/>
        <v>1310131</v>
      </c>
      <c r="E131" s="117">
        <f t="shared" si="8"/>
        <v>1244928</v>
      </c>
      <c r="F131" s="117">
        <f t="shared" si="8"/>
        <v>1444930</v>
      </c>
      <c r="G131" s="117">
        <f t="shared" si="8"/>
        <v>1417508</v>
      </c>
      <c r="H131" s="117">
        <f t="shared" si="8"/>
        <v>1425822</v>
      </c>
      <c r="I131" s="117">
        <f t="shared" si="8"/>
        <v>1582785</v>
      </c>
      <c r="J131" s="117">
        <f t="shared" si="8"/>
        <v>1663575</v>
      </c>
      <c r="K131" s="117">
        <f t="shared" si="8"/>
        <v>1199554</v>
      </c>
      <c r="L131" s="117">
        <f t="shared" si="8"/>
        <v>1151291</v>
      </c>
      <c r="M131" s="117">
        <f t="shared" si="8"/>
        <v>1107667</v>
      </c>
      <c r="N131" s="117">
        <f t="shared" si="8"/>
        <v>16015791</v>
      </c>
    </row>
    <row r="132" spans="1:14">
      <c r="A132" s="115" t="s">
        <v>39</v>
      </c>
      <c r="B132" s="116">
        <f>B131/B130</f>
        <v>3.7331351328442765E-2</v>
      </c>
      <c r="C132" s="116">
        <f t="shared" ref="C132:N132" si="9">C131/C130</f>
        <v>2.2412752863431688E-2</v>
      </c>
      <c r="D132" s="116">
        <f t="shared" si="9"/>
        <v>2.4989297664272804E-2</v>
      </c>
      <c r="E132" s="116">
        <f t="shared" si="9"/>
        <v>2.6070522411797647E-2</v>
      </c>
      <c r="F132" s="116">
        <f t="shared" si="9"/>
        <v>2.7967031940929546E-2</v>
      </c>
      <c r="G132" s="116">
        <f t="shared" si="9"/>
        <v>2.783798270483661E-2</v>
      </c>
      <c r="H132" s="116">
        <f t="shared" si="9"/>
        <v>2.6547539810726474E-2</v>
      </c>
      <c r="I132" s="116">
        <f t="shared" si="9"/>
        <v>2.7157132170781157E-2</v>
      </c>
      <c r="J132" s="116">
        <f t="shared" si="9"/>
        <v>2.929226912978513E-2</v>
      </c>
      <c r="K132" s="116">
        <f t="shared" si="9"/>
        <v>2.1372641367292555E-2</v>
      </c>
      <c r="L132" s="116">
        <f t="shared" si="9"/>
        <v>2.242038315343187E-2</v>
      </c>
      <c r="M132" s="116">
        <f t="shared" si="9"/>
        <v>1.888653811146802E-2</v>
      </c>
      <c r="N132" s="116">
        <f t="shared" si="9"/>
        <v>2.578612970818954E-2</v>
      </c>
    </row>
    <row r="134" spans="1:14">
      <c r="A134" t="s">
        <v>21</v>
      </c>
    </row>
  </sheetData>
  <mergeCells count="16">
    <mergeCell ref="A1:N1"/>
    <mergeCell ref="A2:N2"/>
    <mergeCell ref="A27:N27"/>
    <mergeCell ref="A30:M30"/>
    <mergeCell ref="A28:N28"/>
    <mergeCell ref="A4:M4"/>
    <mergeCell ref="A3:N3"/>
    <mergeCell ref="A29:N29"/>
    <mergeCell ref="A127:N127"/>
    <mergeCell ref="A128:N128"/>
    <mergeCell ref="A105:N105"/>
    <mergeCell ref="A55:N55"/>
    <mergeCell ref="A56:N56"/>
    <mergeCell ref="A79:N79"/>
    <mergeCell ref="A80:N80"/>
    <mergeCell ref="A104:N10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62"/>
  <sheetViews>
    <sheetView topLeftCell="A133" zoomScale="70" zoomScaleNormal="70" workbookViewId="0">
      <selection activeCell="B169" sqref="B169"/>
    </sheetView>
  </sheetViews>
  <sheetFormatPr defaultRowHeight="15"/>
  <cols>
    <col min="1" max="1" width="44.28515625" bestFit="1" customWidth="1"/>
    <col min="2" max="2" width="14.42578125" bestFit="1" customWidth="1"/>
    <col min="3" max="3" width="14" bestFit="1" customWidth="1"/>
    <col min="4" max="4" width="15.42578125" bestFit="1" customWidth="1"/>
    <col min="5" max="6" width="15" bestFit="1" customWidth="1"/>
    <col min="7" max="9" width="15.42578125" bestFit="1" customWidth="1"/>
    <col min="10" max="10" width="15.42578125" customWidth="1"/>
    <col min="11" max="11" width="15.42578125" bestFit="1" customWidth="1"/>
    <col min="12" max="13" width="15" bestFit="1" customWidth="1"/>
    <col min="14" max="14" width="18.5703125" bestFit="1" customWidth="1"/>
    <col min="17" max="17" width="14.85546875" bestFit="1" customWidth="1"/>
  </cols>
  <sheetData>
    <row r="1" spans="1:14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>
      <c r="A2" s="156" t="s">
        <v>14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>
      <c r="A3" s="148" t="s">
        <v>25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>
      <c r="A4" s="160">
        <v>2011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14">
      <c r="A5" s="1" t="s">
        <v>16</v>
      </c>
      <c r="B5" s="1" t="s">
        <v>2</v>
      </c>
      <c r="C5" s="1" t="s">
        <v>4</v>
      </c>
      <c r="D5" s="1" t="s">
        <v>3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34" t="s">
        <v>36</v>
      </c>
    </row>
    <row r="6" spans="1:14">
      <c r="A6" s="16" t="s">
        <v>37</v>
      </c>
      <c r="B6" s="15">
        <f>B7+B8</f>
        <v>985410</v>
      </c>
      <c r="C6" s="15">
        <f t="shared" ref="C6:M6" si="0">C7+C8</f>
        <v>960710</v>
      </c>
      <c r="D6" s="15">
        <f t="shared" si="0"/>
        <v>1048588</v>
      </c>
      <c r="E6" s="15">
        <f t="shared" si="0"/>
        <v>1159734</v>
      </c>
      <c r="F6" s="15">
        <f t="shared" si="0"/>
        <v>1612733</v>
      </c>
      <c r="G6" s="15">
        <f t="shared" si="0"/>
        <v>1606329</v>
      </c>
      <c r="H6" s="15">
        <f t="shared" si="0"/>
        <v>1650291</v>
      </c>
      <c r="I6" s="15">
        <f t="shared" si="0"/>
        <v>1783764</v>
      </c>
      <c r="J6" s="15">
        <f t="shared" si="0"/>
        <v>1496349</v>
      </c>
      <c r="K6" s="15">
        <f t="shared" si="0"/>
        <v>1299770</v>
      </c>
      <c r="L6" s="15">
        <f t="shared" si="0"/>
        <v>1460818</v>
      </c>
      <c r="M6" s="15">
        <f t="shared" si="0"/>
        <v>1204615</v>
      </c>
      <c r="N6" s="15">
        <f>SUM(B6:M6)</f>
        <v>16269111</v>
      </c>
    </row>
    <row r="7" spans="1:14">
      <c r="A7" s="1" t="s">
        <v>1</v>
      </c>
      <c r="B7" s="2">
        <v>735232</v>
      </c>
      <c r="C7" s="2">
        <v>668646</v>
      </c>
      <c r="D7" s="2">
        <v>806265</v>
      </c>
      <c r="E7" s="2">
        <v>924074</v>
      </c>
      <c r="F7" s="2">
        <v>1340970</v>
      </c>
      <c r="G7" s="2">
        <v>1332269</v>
      </c>
      <c r="H7" s="2">
        <v>1352088</v>
      </c>
      <c r="I7" s="2">
        <v>1418148</v>
      </c>
      <c r="J7" s="2">
        <v>1109179</v>
      </c>
      <c r="K7" s="3">
        <v>900613</v>
      </c>
      <c r="L7" s="3">
        <v>1093288</v>
      </c>
      <c r="M7" s="3">
        <v>903191</v>
      </c>
      <c r="N7" s="15">
        <f>SUM(B7:M7)</f>
        <v>12583963</v>
      </c>
    </row>
    <row r="8" spans="1:14">
      <c r="A8" s="1" t="s">
        <v>17</v>
      </c>
      <c r="B8" s="2">
        <v>250178</v>
      </c>
      <c r="C8" s="2">
        <v>292064</v>
      </c>
      <c r="D8" s="2">
        <v>242323</v>
      </c>
      <c r="E8" s="2">
        <v>235660</v>
      </c>
      <c r="F8" s="2">
        <v>271763</v>
      </c>
      <c r="G8" s="2">
        <v>274060</v>
      </c>
      <c r="H8" s="2">
        <v>298203</v>
      </c>
      <c r="I8" s="2">
        <v>365616</v>
      </c>
      <c r="J8" s="2">
        <v>387170</v>
      </c>
      <c r="K8" s="3">
        <v>399157</v>
      </c>
      <c r="L8" s="3">
        <v>367530</v>
      </c>
      <c r="M8" s="3">
        <v>301424</v>
      </c>
      <c r="N8" s="15">
        <f>SUM(B8:M8)</f>
        <v>3685148</v>
      </c>
    </row>
    <row r="9" spans="1:14">
      <c r="A9" s="16" t="s">
        <v>68</v>
      </c>
      <c r="B9" s="112">
        <f>B8/B6</f>
        <v>0.25388214042885704</v>
      </c>
      <c r="C9" s="112">
        <f t="shared" ref="C9:M9" si="1">C8/C6</f>
        <v>0.30400849371818761</v>
      </c>
      <c r="D9" s="112">
        <f t="shared" si="1"/>
        <v>0.23109457670696212</v>
      </c>
      <c r="E9" s="112">
        <f t="shared" si="1"/>
        <v>0.20320176868143902</v>
      </c>
      <c r="F9" s="112">
        <f t="shared" si="1"/>
        <v>0.16851084463454272</v>
      </c>
      <c r="G9" s="112">
        <f t="shared" si="1"/>
        <v>0.17061262045321973</v>
      </c>
      <c r="H9" s="112">
        <f t="shared" si="1"/>
        <v>0.18069722248985179</v>
      </c>
      <c r="I9" s="112">
        <f t="shared" si="1"/>
        <v>0.20496881874508063</v>
      </c>
      <c r="J9" s="112">
        <f t="shared" si="1"/>
        <v>0.258743114072987</v>
      </c>
      <c r="K9" s="112">
        <f t="shared" si="1"/>
        <v>0.30709817890857616</v>
      </c>
      <c r="L9" s="112">
        <f t="shared" si="1"/>
        <v>0.25159191630990307</v>
      </c>
      <c r="M9" s="112">
        <f t="shared" si="1"/>
        <v>0.25022434553778594</v>
      </c>
      <c r="N9" s="112">
        <f>N8/N6</f>
        <v>0.22651194647328918</v>
      </c>
    </row>
    <row r="10" spans="1:14">
      <c r="B10" s="41"/>
      <c r="C10" s="41"/>
      <c r="D10" s="41"/>
      <c r="E10" s="41"/>
      <c r="F10" s="41"/>
      <c r="G10" s="41"/>
      <c r="H10" s="41"/>
      <c r="I10" s="41"/>
    </row>
    <row r="28" spans="1:14">
      <c r="A28" s="148" t="s">
        <v>0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</row>
    <row r="29" spans="1:14">
      <c r="A29" s="148" t="s">
        <v>15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</row>
    <row r="30" spans="1:14">
      <c r="A30" s="148" t="s">
        <v>25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</row>
    <row r="31" spans="1:14">
      <c r="A31" s="159">
        <v>2011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</row>
    <row r="32" spans="1:14">
      <c r="A32" s="1" t="s">
        <v>16</v>
      </c>
      <c r="B32" s="1" t="s">
        <v>2</v>
      </c>
      <c r="C32" s="1" t="s">
        <v>4</v>
      </c>
      <c r="D32" s="1" t="s">
        <v>3</v>
      </c>
      <c r="E32" s="1" t="s">
        <v>5</v>
      </c>
      <c r="F32" s="1" t="s">
        <v>6</v>
      </c>
      <c r="G32" s="1" t="s">
        <v>7</v>
      </c>
      <c r="H32" s="1" t="s">
        <v>8</v>
      </c>
      <c r="I32" s="1" t="s">
        <v>9</v>
      </c>
      <c r="J32" s="1" t="s">
        <v>10</v>
      </c>
      <c r="K32" s="1" t="s">
        <v>11</v>
      </c>
      <c r="L32" s="1" t="s">
        <v>12</v>
      </c>
      <c r="M32" s="36" t="s">
        <v>13</v>
      </c>
      <c r="N32" s="34" t="s">
        <v>36</v>
      </c>
    </row>
    <row r="33" spans="1:14">
      <c r="A33" s="1" t="s">
        <v>38</v>
      </c>
      <c r="B33" s="32">
        <f>B34+B35</f>
        <v>134623</v>
      </c>
      <c r="C33" s="32">
        <f t="shared" ref="C33:M33" si="2">C34+C35</f>
        <v>131213</v>
      </c>
      <c r="D33" s="32">
        <f t="shared" si="2"/>
        <v>130620</v>
      </c>
      <c r="E33" s="32">
        <f t="shared" si="2"/>
        <v>135583</v>
      </c>
      <c r="F33" s="32">
        <f t="shared" si="2"/>
        <v>134932</v>
      </c>
      <c r="G33" s="32">
        <f t="shared" si="2"/>
        <v>136656</v>
      </c>
      <c r="H33" s="32">
        <f t="shared" si="2"/>
        <v>140990</v>
      </c>
      <c r="I33" s="32">
        <f t="shared" si="2"/>
        <v>162949</v>
      </c>
      <c r="J33" s="32">
        <f t="shared" si="2"/>
        <v>158796</v>
      </c>
      <c r="K33" s="32">
        <f t="shared" si="2"/>
        <v>170144</v>
      </c>
      <c r="L33" s="32">
        <f t="shared" si="2"/>
        <v>181914</v>
      </c>
      <c r="M33" s="37">
        <f t="shared" si="2"/>
        <v>145002</v>
      </c>
      <c r="N33" s="15">
        <f>SUM(B33:M33)</f>
        <v>1763422</v>
      </c>
    </row>
    <row r="34" spans="1:14">
      <c r="A34" s="1" t="s">
        <v>1</v>
      </c>
      <c r="B34" s="4">
        <v>97148</v>
      </c>
      <c r="C34" s="4">
        <v>91425</v>
      </c>
      <c r="D34" s="4">
        <v>93790</v>
      </c>
      <c r="E34" s="44">
        <v>101499</v>
      </c>
      <c r="F34" s="4">
        <v>106299</v>
      </c>
      <c r="G34" s="4">
        <v>108641</v>
      </c>
      <c r="H34" s="4">
        <v>110194</v>
      </c>
      <c r="I34" s="4">
        <v>128301</v>
      </c>
      <c r="J34" s="4">
        <v>115867</v>
      </c>
      <c r="K34" s="4">
        <v>124518</v>
      </c>
      <c r="L34" s="4">
        <v>145932</v>
      </c>
      <c r="M34" s="38">
        <v>107250</v>
      </c>
      <c r="N34" s="15">
        <f>SUM(B34:M34)</f>
        <v>1330864</v>
      </c>
    </row>
    <row r="35" spans="1:14">
      <c r="A35" s="1" t="s">
        <v>17</v>
      </c>
      <c r="B35" s="4">
        <v>37475</v>
      </c>
      <c r="C35" s="4">
        <v>39788</v>
      </c>
      <c r="D35" s="4">
        <v>36830</v>
      </c>
      <c r="E35" s="4">
        <v>34084</v>
      </c>
      <c r="F35" s="4">
        <v>28633</v>
      </c>
      <c r="G35" s="4">
        <v>28015</v>
      </c>
      <c r="H35" s="4">
        <v>30796</v>
      </c>
      <c r="I35" s="4">
        <v>34648</v>
      </c>
      <c r="J35" s="4">
        <v>42929</v>
      </c>
      <c r="K35" s="4">
        <v>45626</v>
      </c>
      <c r="L35" s="4">
        <v>35982</v>
      </c>
      <c r="M35" s="38">
        <v>37752</v>
      </c>
      <c r="N35" s="15">
        <f>SUM(B35:M35)</f>
        <v>432558</v>
      </c>
    </row>
    <row r="36" spans="1:14">
      <c r="A36" s="16" t="s">
        <v>68</v>
      </c>
      <c r="B36" s="112">
        <f>B35/B33</f>
        <v>0.27836996649903806</v>
      </c>
      <c r="C36" s="112">
        <f t="shared" ref="C36:M36" si="3">C35/C33</f>
        <v>0.30323214925350384</v>
      </c>
      <c r="D36" s="112">
        <f t="shared" si="3"/>
        <v>0.2819629459500842</v>
      </c>
      <c r="E36" s="112">
        <f t="shared" si="3"/>
        <v>0.25138844840429847</v>
      </c>
      <c r="F36" s="112">
        <f t="shared" si="3"/>
        <v>0.21220318382592712</v>
      </c>
      <c r="G36" s="112">
        <f t="shared" si="3"/>
        <v>0.20500380517503805</v>
      </c>
      <c r="H36" s="112">
        <f t="shared" si="3"/>
        <v>0.2184268387828924</v>
      </c>
      <c r="I36" s="112">
        <f t="shared" si="3"/>
        <v>0.21263094587877188</v>
      </c>
      <c r="J36" s="112">
        <f t="shared" si="3"/>
        <v>0.27034056273457768</v>
      </c>
      <c r="K36" s="112">
        <f t="shared" si="3"/>
        <v>0.26816108707918002</v>
      </c>
      <c r="L36" s="112">
        <f t="shared" si="3"/>
        <v>0.19779676110689667</v>
      </c>
      <c r="M36" s="112">
        <f t="shared" si="3"/>
        <v>0.26035502958579881</v>
      </c>
      <c r="N36" s="112">
        <f>N35/N33</f>
        <v>0.24529466004166897</v>
      </c>
    </row>
    <row r="37" spans="1:14">
      <c r="A37" s="27"/>
      <c r="B37" s="35"/>
      <c r="C37" s="35"/>
      <c r="D37" s="35"/>
      <c r="E37" s="43"/>
      <c r="F37" s="35"/>
      <c r="G37" s="35"/>
      <c r="H37" s="35"/>
      <c r="I37" s="35"/>
      <c r="J37" s="35"/>
      <c r="K37" s="35"/>
      <c r="L37" s="35"/>
      <c r="M37" s="35"/>
    </row>
    <row r="56" spans="1:14">
      <c r="A56" s="148" t="s">
        <v>33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</row>
    <row r="57" spans="1:14">
      <c r="A57" s="148" t="s">
        <v>34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</row>
    <row r="58" spans="1:14">
      <c r="A58" s="148" t="s">
        <v>35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</row>
    <row r="59" spans="1:14">
      <c r="A59" s="30"/>
      <c r="B59" s="30"/>
      <c r="C59" s="30"/>
      <c r="D59" s="30"/>
      <c r="E59" s="30"/>
      <c r="F59" s="30"/>
      <c r="G59" s="30">
        <v>2011</v>
      </c>
      <c r="H59" s="30"/>
      <c r="I59" s="30"/>
      <c r="J59" s="30"/>
      <c r="K59" s="30"/>
      <c r="L59" s="30"/>
      <c r="M59" s="30"/>
      <c r="N59" s="30"/>
    </row>
    <row r="60" spans="1:14">
      <c r="A60" s="1" t="s">
        <v>16</v>
      </c>
      <c r="B60" s="28">
        <v>40513</v>
      </c>
      <c r="C60" s="28">
        <v>40544</v>
      </c>
      <c r="D60" s="28">
        <v>40575</v>
      </c>
      <c r="E60" s="28">
        <v>40603</v>
      </c>
      <c r="F60" s="28">
        <v>40634</v>
      </c>
      <c r="G60" s="28">
        <v>40664</v>
      </c>
      <c r="H60" s="28">
        <v>40695</v>
      </c>
      <c r="I60" s="28">
        <v>40725</v>
      </c>
      <c r="J60" s="28">
        <v>40756</v>
      </c>
      <c r="K60" s="49">
        <v>40787</v>
      </c>
      <c r="L60" s="49">
        <v>40817</v>
      </c>
      <c r="M60" s="28">
        <v>40848</v>
      </c>
      <c r="N60" s="28">
        <v>40878</v>
      </c>
    </row>
    <row r="61" spans="1:14">
      <c r="A61" s="1" t="s">
        <v>1</v>
      </c>
      <c r="B61" s="4">
        <v>114453</v>
      </c>
      <c r="C61" s="2">
        <v>97148</v>
      </c>
      <c r="D61" s="2">
        <v>91425</v>
      </c>
      <c r="E61" s="2">
        <v>93790</v>
      </c>
      <c r="F61" s="45">
        <v>101499</v>
      </c>
      <c r="G61" s="2">
        <v>106299</v>
      </c>
      <c r="H61" s="2">
        <v>108641</v>
      </c>
      <c r="I61" s="4">
        <v>110194</v>
      </c>
      <c r="J61" s="40">
        <v>128301</v>
      </c>
      <c r="K61" s="46">
        <v>115867</v>
      </c>
      <c r="L61" s="46">
        <v>124518</v>
      </c>
      <c r="M61" s="46">
        <v>145932</v>
      </c>
      <c r="N61" s="46">
        <v>107250</v>
      </c>
    </row>
    <row r="62" spans="1:14">
      <c r="A62" s="1" t="s">
        <v>17</v>
      </c>
      <c r="B62" s="4">
        <v>36446</v>
      </c>
      <c r="C62" s="4">
        <v>37475</v>
      </c>
      <c r="D62" s="4">
        <v>39788</v>
      </c>
      <c r="E62" s="4">
        <v>36830</v>
      </c>
      <c r="F62" s="4">
        <v>34084</v>
      </c>
      <c r="G62" s="4">
        <v>28633</v>
      </c>
      <c r="H62" s="4">
        <v>28015</v>
      </c>
      <c r="I62" s="4">
        <v>30796</v>
      </c>
      <c r="J62" s="40">
        <v>34648</v>
      </c>
      <c r="K62" s="46">
        <v>42929</v>
      </c>
      <c r="L62" s="46">
        <v>45626</v>
      </c>
      <c r="M62" s="46">
        <v>35982</v>
      </c>
      <c r="N62" s="46">
        <v>37752</v>
      </c>
    </row>
    <row r="63" spans="1:14">
      <c r="C63" s="29"/>
    </row>
    <row r="82" spans="1:14">
      <c r="A82" s="148" t="s">
        <v>40</v>
      </c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>
      <c r="A83" s="150" t="s">
        <v>25</v>
      </c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</row>
    <row r="84" spans="1:14">
      <c r="A84" s="1"/>
      <c r="B84" s="1" t="s">
        <v>2</v>
      </c>
      <c r="C84" s="1" t="s">
        <v>4</v>
      </c>
      <c r="D84" s="1" t="s">
        <v>3</v>
      </c>
      <c r="E84" s="1" t="s">
        <v>5</v>
      </c>
      <c r="F84" s="1" t="s">
        <v>6</v>
      </c>
      <c r="G84" s="1" t="s">
        <v>7</v>
      </c>
      <c r="H84" s="1" t="s">
        <v>8</v>
      </c>
      <c r="I84" s="1" t="s">
        <v>9</v>
      </c>
      <c r="J84" s="1" t="s">
        <v>10</v>
      </c>
      <c r="K84" s="1" t="s">
        <v>11</v>
      </c>
      <c r="L84" s="1" t="s">
        <v>12</v>
      </c>
      <c r="M84" s="1" t="s">
        <v>13</v>
      </c>
      <c r="N84" s="34" t="s">
        <v>36</v>
      </c>
    </row>
    <row r="85" spans="1:14" s="78" customFormat="1">
      <c r="A85" s="79" t="s">
        <v>52</v>
      </c>
      <c r="B85" s="76">
        <f>B86+B87</f>
        <v>985410</v>
      </c>
      <c r="C85" s="76">
        <f t="shared" ref="C85:L85" si="4">C86+C87</f>
        <v>960709</v>
      </c>
      <c r="D85" s="76">
        <f t="shared" si="4"/>
        <v>1048980</v>
      </c>
      <c r="E85" s="76">
        <f t="shared" si="4"/>
        <v>1159734</v>
      </c>
      <c r="F85" s="76">
        <f t="shared" si="4"/>
        <v>1613210</v>
      </c>
      <c r="G85" s="76">
        <f t="shared" si="4"/>
        <v>1606819</v>
      </c>
      <c r="H85" s="76">
        <f t="shared" si="4"/>
        <v>1650292</v>
      </c>
      <c r="I85" s="76">
        <f t="shared" si="4"/>
        <v>1783765</v>
      </c>
      <c r="J85" s="76">
        <f t="shared" si="4"/>
        <v>1496350</v>
      </c>
      <c r="K85" s="76">
        <f t="shared" si="4"/>
        <v>1299770</v>
      </c>
      <c r="L85" s="76">
        <f t="shared" si="4"/>
        <v>1460818</v>
      </c>
      <c r="M85" s="76">
        <f>M86+M87</f>
        <v>1204615</v>
      </c>
      <c r="N85" s="77">
        <f>N86+N87</f>
        <v>16270472</v>
      </c>
    </row>
    <row r="86" spans="1:14">
      <c r="A86" s="21" t="s">
        <v>26</v>
      </c>
      <c r="B86" s="22">
        <v>372760</v>
      </c>
      <c r="C86" s="22">
        <v>240630</v>
      </c>
      <c r="D86" s="22">
        <v>360057</v>
      </c>
      <c r="E86" s="22">
        <v>473889</v>
      </c>
      <c r="F86" s="22">
        <v>534979</v>
      </c>
      <c r="G86" s="22">
        <v>467289</v>
      </c>
      <c r="H86" s="22">
        <v>539785</v>
      </c>
      <c r="I86" s="22">
        <v>537046</v>
      </c>
      <c r="J86" s="22">
        <v>504476</v>
      </c>
      <c r="K86" s="22">
        <v>402488</v>
      </c>
      <c r="L86" s="22">
        <v>432633</v>
      </c>
      <c r="M86" s="22">
        <v>269444</v>
      </c>
      <c r="N86" s="15">
        <f>SUM(B86:M86)</f>
        <v>5135476</v>
      </c>
    </row>
    <row r="87" spans="1:14">
      <c r="A87" s="23" t="s">
        <v>27</v>
      </c>
      <c r="B87" s="22">
        <v>612650</v>
      </c>
      <c r="C87" s="22">
        <v>720079</v>
      </c>
      <c r="D87" s="22">
        <v>688923</v>
      </c>
      <c r="E87" s="22">
        <v>685845</v>
      </c>
      <c r="F87" s="22">
        <v>1078231</v>
      </c>
      <c r="G87" s="22">
        <v>1139530</v>
      </c>
      <c r="H87" s="22">
        <v>1110507</v>
      </c>
      <c r="I87" s="22">
        <v>1246719</v>
      </c>
      <c r="J87" s="22">
        <v>991874</v>
      </c>
      <c r="K87" s="22">
        <v>897282</v>
      </c>
      <c r="L87" s="22">
        <v>1028185</v>
      </c>
      <c r="M87" s="22">
        <v>935171</v>
      </c>
      <c r="N87" s="15">
        <f>SUM(B87:M87)</f>
        <v>11134996</v>
      </c>
    </row>
    <row r="106" spans="1:14">
      <c r="A106" s="155" t="s">
        <v>41</v>
      </c>
      <c r="B106" s="155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</row>
    <row r="107" spans="1:14">
      <c r="A107" s="154" t="s">
        <v>25</v>
      </c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</row>
    <row r="108" spans="1:14">
      <c r="A108" s="1"/>
      <c r="B108" s="1" t="s">
        <v>2</v>
      </c>
      <c r="C108" s="1" t="s">
        <v>4</v>
      </c>
      <c r="D108" s="1" t="s">
        <v>3</v>
      </c>
      <c r="E108" s="1" t="s">
        <v>5</v>
      </c>
      <c r="F108" s="1" t="s">
        <v>6</v>
      </c>
      <c r="G108" s="1" t="s">
        <v>7</v>
      </c>
      <c r="H108" s="1" t="s">
        <v>8</v>
      </c>
      <c r="I108" s="1" t="s">
        <v>9</v>
      </c>
      <c r="J108" s="1" t="s">
        <v>10</v>
      </c>
      <c r="K108" s="1" t="s">
        <v>11</v>
      </c>
      <c r="L108" s="1" t="s">
        <v>12</v>
      </c>
      <c r="M108" s="1" t="s">
        <v>13</v>
      </c>
      <c r="N108" s="34" t="s">
        <v>36</v>
      </c>
    </row>
    <row r="109" spans="1:14">
      <c r="A109" s="19" t="s">
        <v>28</v>
      </c>
      <c r="B109" s="24">
        <v>35101926</v>
      </c>
      <c r="C109" s="24">
        <v>35556816</v>
      </c>
      <c r="D109" s="24">
        <v>39545834</v>
      </c>
      <c r="E109" s="24">
        <v>40316487</v>
      </c>
      <c r="F109" s="24">
        <v>44691971</v>
      </c>
      <c r="G109" s="24">
        <v>42985457</v>
      </c>
      <c r="H109" s="24">
        <v>44599816</v>
      </c>
      <c r="I109" s="24">
        <f>52805888510/1000</f>
        <v>52805888.509999998</v>
      </c>
      <c r="J109" s="24">
        <f>46749155494/1000</f>
        <v>46749155.494000003</v>
      </c>
      <c r="K109" s="47">
        <f>43104066024/1000</f>
        <v>43104066.023999996</v>
      </c>
      <c r="L109" s="47">
        <f>46657814835/1000</f>
        <v>46657814.835000001</v>
      </c>
      <c r="M109" s="24">
        <f>49557788055/1000</f>
        <v>49557788.055</v>
      </c>
      <c r="N109" s="15">
        <f>SUM(B109:M109)</f>
        <v>521673019.91799998</v>
      </c>
    </row>
    <row r="110" spans="1:14">
      <c r="A110" s="18" t="s">
        <v>29</v>
      </c>
      <c r="B110" s="22">
        <v>612650</v>
      </c>
      <c r="C110" s="22">
        <v>720079</v>
      </c>
      <c r="D110" s="22">
        <v>688923</v>
      </c>
      <c r="E110" s="22">
        <v>685845</v>
      </c>
      <c r="F110" s="22">
        <v>1078231</v>
      </c>
      <c r="G110" s="22">
        <v>1139530</v>
      </c>
      <c r="H110" s="22">
        <v>1110507</v>
      </c>
      <c r="I110" s="22">
        <f>1246718727/1000</f>
        <v>1246718.727</v>
      </c>
      <c r="J110" s="22">
        <f>991874429/1000</f>
        <v>991874.429</v>
      </c>
      <c r="K110" s="22">
        <v>897282</v>
      </c>
      <c r="L110" s="22">
        <v>1028185</v>
      </c>
      <c r="M110" s="22">
        <v>935171</v>
      </c>
      <c r="N110" s="15">
        <f>SUM(B110:M110)</f>
        <v>11134996.155999999</v>
      </c>
    </row>
    <row r="111" spans="1:14">
      <c r="A111" s="115" t="s">
        <v>39</v>
      </c>
      <c r="B111" s="112">
        <f>B110/B109</f>
        <v>1.7453458251834957E-2</v>
      </c>
      <c r="C111" s="112">
        <f t="shared" ref="C111:M111" si="5">C110/C109</f>
        <v>2.0251503959184645E-2</v>
      </c>
      <c r="D111" s="112">
        <f t="shared" si="5"/>
        <v>1.7420874219013817E-2</v>
      </c>
      <c r="E111" s="112">
        <f t="shared" si="5"/>
        <v>1.7011526822761119E-2</v>
      </c>
      <c r="F111" s="112">
        <f t="shared" si="5"/>
        <v>2.4125832355883343E-2</v>
      </c>
      <c r="G111" s="112">
        <f t="shared" si="5"/>
        <v>2.6509663489212177E-2</v>
      </c>
      <c r="H111" s="112">
        <f t="shared" si="5"/>
        <v>2.4899362813514746E-2</v>
      </c>
      <c r="I111" s="112">
        <f t="shared" si="5"/>
        <v>2.3609464061264785E-2</v>
      </c>
      <c r="J111" s="112">
        <f t="shared" si="5"/>
        <v>2.1216948595516375E-2</v>
      </c>
      <c r="K111" s="112">
        <f t="shared" si="5"/>
        <v>2.0816644060919928E-2</v>
      </c>
      <c r="L111" s="112">
        <f t="shared" si="5"/>
        <v>2.2036715684951344E-2</v>
      </c>
      <c r="M111" s="112">
        <f t="shared" si="5"/>
        <v>1.8870313561253637E-2</v>
      </c>
      <c r="N111" s="112">
        <f>N110/N109</f>
        <v>2.1344780601746036E-2</v>
      </c>
    </row>
    <row r="128" spans="1:14">
      <c r="A128" s="155" t="s">
        <v>69</v>
      </c>
      <c r="B128" s="155"/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</row>
    <row r="129" spans="1:17">
      <c r="A129" s="154" t="s">
        <v>25</v>
      </c>
      <c r="B129" s="154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Q129">
        <v>521673019.91799998</v>
      </c>
    </row>
    <row r="130" spans="1:17">
      <c r="A130" s="1"/>
      <c r="B130" s="1" t="s">
        <v>2</v>
      </c>
      <c r="C130" s="1" t="s">
        <v>4</v>
      </c>
      <c r="D130" s="1" t="s">
        <v>3</v>
      </c>
      <c r="E130" s="1" t="s">
        <v>5</v>
      </c>
      <c r="F130" s="1" t="s">
        <v>6</v>
      </c>
      <c r="G130" s="1" t="s">
        <v>7</v>
      </c>
      <c r="H130" s="1" t="s">
        <v>8</v>
      </c>
      <c r="I130" s="1" t="s">
        <v>9</v>
      </c>
      <c r="J130" s="1" t="s">
        <v>10</v>
      </c>
      <c r="K130" s="1" t="s">
        <v>11</v>
      </c>
      <c r="L130" s="1" t="s">
        <v>12</v>
      </c>
      <c r="M130" s="1" t="s">
        <v>13</v>
      </c>
      <c r="N130" s="34" t="s">
        <v>36</v>
      </c>
      <c r="Q130">
        <v>131882309.285</v>
      </c>
    </row>
    <row r="131" spans="1:17">
      <c r="A131" s="19" t="s">
        <v>28</v>
      </c>
      <c r="B131" s="22">
        <v>9340648</v>
      </c>
      <c r="C131" s="22">
        <v>9415938</v>
      </c>
      <c r="D131" s="22">
        <v>10077879</v>
      </c>
      <c r="E131" s="22">
        <v>11025373</v>
      </c>
      <c r="F131" s="22">
        <v>11543601</v>
      </c>
      <c r="G131" s="22">
        <v>11111084</v>
      </c>
      <c r="H131" s="22">
        <v>10897971</v>
      </c>
      <c r="I131" s="22">
        <f>12812256790/1000</f>
        <v>12812256.789999999</v>
      </c>
      <c r="J131" s="22">
        <f>12146850226/1000</f>
        <v>12146850.226</v>
      </c>
      <c r="K131" s="22">
        <f>10931312553/1000</f>
        <v>10931312.552999999</v>
      </c>
      <c r="L131" s="22">
        <f>11773692302/1000</f>
        <v>11773692.301999999</v>
      </c>
      <c r="M131" s="22">
        <f>10805703414/1000</f>
        <v>10805703.414000001</v>
      </c>
      <c r="N131" s="15">
        <f>SUM(B131:M131)</f>
        <v>131882309.285</v>
      </c>
      <c r="Q131">
        <f>SUM(Q129:Q130)</f>
        <v>653555329.20299995</v>
      </c>
    </row>
    <row r="132" spans="1:17">
      <c r="A132" s="18" t="s">
        <v>29</v>
      </c>
      <c r="B132" s="22">
        <v>372760</v>
      </c>
      <c r="C132" s="22">
        <v>240630</v>
      </c>
      <c r="D132" s="22">
        <v>360057</v>
      </c>
      <c r="E132" s="22">
        <v>473889</v>
      </c>
      <c r="F132" s="22">
        <v>534979</v>
      </c>
      <c r="G132" s="22">
        <v>467289</v>
      </c>
      <c r="H132" s="22">
        <v>539785</v>
      </c>
      <c r="I132" s="22">
        <f>537045666/1000</f>
        <v>537045.66599999997</v>
      </c>
      <c r="J132" s="22">
        <f>504475666/1000</f>
        <v>504475.66600000003</v>
      </c>
      <c r="K132" s="22">
        <v>402488</v>
      </c>
      <c r="L132" s="22">
        <v>432633</v>
      </c>
      <c r="M132" s="22">
        <v>269444</v>
      </c>
      <c r="N132" s="15">
        <f>SUM(B132:M132)</f>
        <v>5135475.3320000004</v>
      </c>
    </row>
    <row r="133" spans="1:17">
      <c r="A133" s="115" t="s">
        <v>39</v>
      </c>
      <c r="B133" s="112">
        <f>B132/B131</f>
        <v>3.9907295510975258E-2</v>
      </c>
      <c r="C133" s="112">
        <f t="shared" ref="C133:M133" si="6">C132/C131</f>
        <v>2.5555605824932152E-2</v>
      </c>
      <c r="D133" s="112">
        <f t="shared" si="6"/>
        <v>3.5727458128838423E-2</v>
      </c>
      <c r="E133" s="112">
        <f t="shared" si="6"/>
        <v>4.2981675087092289E-2</v>
      </c>
      <c r="F133" s="112">
        <f t="shared" si="6"/>
        <v>4.634420403130704E-2</v>
      </c>
      <c r="G133" s="112">
        <f t="shared" si="6"/>
        <v>4.2056112616914783E-2</v>
      </c>
      <c r="H133" s="112">
        <f t="shared" si="6"/>
        <v>4.9530779628611604E-2</v>
      </c>
      <c r="I133" s="112">
        <f t="shared" si="6"/>
        <v>4.1916554967830928E-2</v>
      </c>
      <c r="J133" s="112">
        <f t="shared" si="6"/>
        <v>4.153139757335475E-2</v>
      </c>
      <c r="K133" s="112">
        <f t="shared" si="6"/>
        <v>3.6819732127185478E-2</v>
      </c>
      <c r="L133" s="112">
        <f t="shared" si="6"/>
        <v>3.6745736927956622E-2</v>
      </c>
      <c r="M133" s="112">
        <f t="shared" si="6"/>
        <v>2.4935350312401235E-2</v>
      </c>
      <c r="N133" s="112">
        <f>N132/N131</f>
        <v>3.8939834765117344E-2</v>
      </c>
    </row>
    <row r="154" spans="1:14">
      <c r="A154" s="152" t="s">
        <v>59</v>
      </c>
      <c r="B154" s="152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</row>
    <row r="155" spans="1:14">
      <c r="A155" s="153" t="s">
        <v>25</v>
      </c>
      <c r="B155" s="153"/>
      <c r="C155" s="153"/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</row>
    <row r="156" spans="1:14">
      <c r="A156" s="98"/>
      <c r="B156" s="93" t="s">
        <v>2</v>
      </c>
      <c r="C156" s="93" t="s">
        <v>4</v>
      </c>
      <c r="D156" s="93" t="s">
        <v>3</v>
      </c>
      <c r="E156" s="93" t="s">
        <v>5</v>
      </c>
      <c r="F156" s="93" t="s">
        <v>6</v>
      </c>
      <c r="G156" s="93" t="s">
        <v>7</v>
      </c>
      <c r="H156" s="93" t="s">
        <v>8</v>
      </c>
      <c r="I156" s="93" t="s">
        <v>9</v>
      </c>
      <c r="J156" s="93" t="s">
        <v>10</v>
      </c>
      <c r="K156" s="93" t="s">
        <v>11</v>
      </c>
      <c r="L156" s="93" t="s">
        <v>12</v>
      </c>
      <c r="M156" s="93" t="s">
        <v>13</v>
      </c>
      <c r="N156" s="94" t="s">
        <v>36</v>
      </c>
    </row>
    <row r="157" spans="1:14">
      <c r="A157" s="19" t="s">
        <v>28</v>
      </c>
      <c r="B157" s="102">
        <f>B109+B131</f>
        <v>44442574</v>
      </c>
      <c r="C157" s="102">
        <f t="shared" ref="C157:N157" si="7">C109+C131</f>
        <v>44972754</v>
      </c>
      <c r="D157" s="102">
        <f t="shared" si="7"/>
        <v>49623713</v>
      </c>
      <c r="E157" s="102">
        <f t="shared" si="7"/>
        <v>51341860</v>
      </c>
      <c r="F157" s="102">
        <f t="shared" si="7"/>
        <v>56235572</v>
      </c>
      <c r="G157" s="102">
        <f t="shared" si="7"/>
        <v>54096541</v>
      </c>
      <c r="H157" s="102">
        <f t="shared" si="7"/>
        <v>55497787</v>
      </c>
      <c r="I157" s="102">
        <f t="shared" si="7"/>
        <v>65618145.299999997</v>
      </c>
      <c r="J157" s="102">
        <f t="shared" si="7"/>
        <v>58896005.719999999</v>
      </c>
      <c r="K157" s="102">
        <f t="shared" si="7"/>
        <v>54035378.576999992</v>
      </c>
      <c r="L157" s="102">
        <f t="shared" si="7"/>
        <v>58431507.137000002</v>
      </c>
      <c r="M157" s="102">
        <f t="shared" si="7"/>
        <v>60363491.468999997</v>
      </c>
      <c r="N157" s="102">
        <f t="shared" si="7"/>
        <v>653555329.20299995</v>
      </c>
    </row>
    <row r="158" spans="1:14">
      <c r="A158" s="18" t="s">
        <v>29</v>
      </c>
      <c r="B158" s="117">
        <f>B85</f>
        <v>985410</v>
      </c>
      <c r="C158" s="117">
        <f t="shared" ref="C158:N158" si="8">C85</f>
        <v>960709</v>
      </c>
      <c r="D158" s="117">
        <f t="shared" si="8"/>
        <v>1048980</v>
      </c>
      <c r="E158" s="117">
        <f t="shared" si="8"/>
        <v>1159734</v>
      </c>
      <c r="F158" s="117">
        <f t="shared" si="8"/>
        <v>1613210</v>
      </c>
      <c r="G158" s="117">
        <f t="shared" si="8"/>
        <v>1606819</v>
      </c>
      <c r="H158" s="117">
        <f t="shared" si="8"/>
        <v>1650292</v>
      </c>
      <c r="I158" s="117">
        <f t="shared" si="8"/>
        <v>1783765</v>
      </c>
      <c r="J158" s="117">
        <f t="shared" si="8"/>
        <v>1496350</v>
      </c>
      <c r="K158" s="117">
        <f t="shared" si="8"/>
        <v>1299770</v>
      </c>
      <c r="L158" s="117">
        <f t="shared" si="8"/>
        <v>1460818</v>
      </c>
      <c r="M158" s="117">
        <f t="shared" si="8"/>
        <v>1204615</v>
      </c>
      <c r="N158" s="117">
        <f t="shared" si="8"/>
        <v>16270472</v>
      </c>
    </row>
    <row r="159" spans="1:14">
      <c r="A159" s="115" t="s">
        <v>39</v>
      </c>
      <c r="B159" s="116">
        <f>B158/B157</f>
        <v>2.2172658136317667E-2</v>
      </c>
      <c r="C159" s="116">
        <f t="shared" ref="C159:N159" si="9">C158/C157</f>
        <v>2.1362022881676313E-2</v>
      </c>
      <c r="D159" s="116">
        <f t="shared" si="9"/>
        <v>2.1138684241543956E-2</v>
      </c>
      <c r="E159" s="116">
        <f t="shared" si="9"/>
        <v>2.2588468746554954E-2</v>
      </c>
      <c r="F159" s="116">
        <f t="shared" si="9"/>
        <v>2.868664695008348E-2</v>
      </c>
      <c r="G159" s="116">
        <f t="shared" si="9"/>
        <v>2.9702804842919622E-2</v>
      </c>
      <c r="H159" s="116">
        <f t="shared" si="9"/>
        <v>2.9736176687549722E-2</v>
      </c>
      <c r="I159" s="116">
        <f t="shared" si="9"/>
        <v>2.7184020393212792E-2</v>
      </c>
      <c r="J159" s="116">
        <f t="shared" si="9"/>
        <v>2.540664654091928E-2</v>
      </c>
      <c r="K159" s="116">
        <f t="shared" si="9"/>
        <v>2.4054055587818968E-2</v>
      </c>
      <c r="L159" s="116">
        <f t="shared" si="9"/>
        <v>2.500051892508829E-2</v>
      </c>
      <c r="M159" s="116">
        <f t="shared" si="9"/>
        <v>1.9956019287231532E-2</v>
      </c>
      <c r="N159" s="116">
        <f t="shared" si="9"/>
        <v>2.4895324501204168E-2</v>
      </c>
    </row>
    <row r="162" spans="1:1">
      <c r="A162" t="s">
        <v>21</v>
      </c>
    </row>
  </sheetData>
  <mergeCells count="19">
    <mergeCell ref="A31:N31"/>
    <mergeCell ref="A30:N30"/>
    <mergeCell ref="A1:N1"/>
    <mergeCell ref="A2:N2"/>
    <mergeCell ref="A3:N3"/>
    <mergeCell ref="A4:N4"/>
    <mergeCell ref="A29:N29"/>
    <mergeCell ref="A28:N28"/>
    <mergeCell ref="A154:N154"/>
    <mergeCell ref="A155:N155"/>
    <mergeCell ref="A56:N56"/>
    <mergeCell ref="A57:N57"/>
    <mergeCell ref="A58:N58"/>
    <mergeCell ref="A129:N129"/>
    <mergeCell ref="A82:N82"/>
    <mergeCell ref="A83:N83"/>
    <mergeCell ref="A106:N106"/>
    <mergeCell ref="A107:N107"/>
    <mergeCell ref="A128:N12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6"/>
  <sheetViews>
    <sheetView topLeftCell="A142" zoomScale="80" zoomScaleNormal="80" workbookViewId="0">
      <selection activeCell="J7" sqref="J7"/>
    </sheetView>
  </sheetViews>
  <sheetFormatPr defaultRowHeight="15"/>
  <cols>
    <col min="1" max="1" width="34.42578125" bestFit="1" customWidth="1"/>
    <col min="2" max="5" width="13.28515625" bestFit="1" customWidth="1"/>
    <col min="6" max="7" width="13.42578125" bestFit="1" customWidth="1"/>
    <col min="8" max="13" width="13.28515625" bestFit="1" customWidth="1"/>
    <col min="14" max="14" width="14.28515625" bestFit="1" customWidth="1"/>
    <col min="16" max="16" width="11.28515625" bestFit="1" customWidth="1"/>
  </cols>
  <sheetData>
    <row r="1" spans="1:14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>
      <c r="A2" s="156" t="s">
        <v>46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>
      <c r="A3" s="148" t="s">
        <v>25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>
      <c r="A4" s="160">
        <v>2012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14">
      <c r="A5" s="1" t="s">
        <v>16</v>
      </c>
      <c r="B5" s="1" t="s">
        <v>2</v>
      </c>
      <c r="C5" s="1" t="s">
        <v>4</v>
      </c>
      <c r="D5" s="1" t="s">
        <v>3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34" t="s">
        <v>36</v>
      </c>
    </row>
    <row r="6" spans="1:14">
      <c r="A6" s="16" t="s">
        <v>37</v>
      </c>
      <c r="B6" s="15">
        <f>B7+B8</f>
        <v>1234298</v>
      </c>
      <c r="C6" s="15">
        <f t="shared" ref="C6:M6" si="0">C7+C8</f>
        <v>1169881</v>
      </c>
      <c r="D6" s="15">
        <f t="shared" si="0"/>
        <v>1236444</v>
      </c>
      <c r="E6" s="15">
        <f t="shared" si="0"/>
        <v>1256223</v>
      </c>
      <c r="F6" s="15">
        <f t="shared" si="0"/>
        <v>1509212</v>
      </c>
      <c r="G6" s="15">
        <f t="shared" si="0"/>
        <v>1618460.629</v>
      </c>
      <c r="H6" s="15">
        <f t="shared" si="0"/>
        <v>1862587.209</v>
      </c>
      <c r="I6" s="15">
        <f t="shared" si="0"/>
        <v>1513661.3779999996</v>
      </c>
      <c r="J6" s="15">
        <f t="shared" si="0"/>
        <v>1230452.713</v>
      </c>
      <c r="K6" s="15">
        <f t="shared" si="0"/>
        <v>1395737.5719999997</v>
      </c>
      <c r="L6" s="15">
        <f t="shared" si="0"/>
        <v>1295733.8589999999</v>
      </c>
      <c r="M6" s="15">
        <f t="shared" si="0"/>
        <v>1288118.1910000001</v>
      </c>
      <c r="N6" s="15">
        <f>SUM(B6:M6)</f>
        <v>16610809.550999997</v>
      </c>
    </row>
    <row r="7" spans="1:14">
      <c r="A7" s="1" t="s">
        <v>1</v>
      </c>
      <c r="B7" s="3">
        <v>949151</v>
      </c>
      <c r="C7" s="3">
        <v>960743</v>
      </c>
      <c r="D7" s="3">
        <v>946781</v>
      </c>
      <c r="E7" s="3">
        <v>991216</v>
      </c>
      <c r="F7" s="3">
        <v>1231169</v>
      </c>
      <c r="G7" s="3">
        <v>1273762.68</v>
      </c>
      <c r="H7" s="3">
        <v>1522352.291</v>
      </c>
      <c r="I7" s="3">
        <v>1111054.1979999996</v>
      </c>
      <c r="J7" s="3">
        <v>884655.18499999994</v>
      </c>
      <c r="K7" s="3">
        <v>1011652.7779999999</v>
      </c>
      <c r="L7" s="3">
        <v>1012335.7079999999</v>
      </c>
      <c r="M7" s="3">
        <v>917581.902</v>
      </c>
      <c r="N7" s="15">
        <f>SUM(B7:M7)</f>
        <v>12812454.742000001</v>
      </c>
    </row>
    <row r="8" spans="1:14">
      <c r="A8" s="1" t="s">
        <v>17</v>
      </c>
      <c r="B8" s="3">
        <v>285147</v>
      </c>
      <c r="C8" s="3">
        <v>209138</v>
      </c>
      <c r="D8" s="3">
        <v>289663</v>
      </c>
      <c r="E8" s="3">
        <v>265007</v>
      </c>
      <c r="F8" s="3">
        <v>278043</v>
      </c>
      <c r="G8" s="3">
        <v>344697.94900000002</v>
      </c>
      <c r="H8" s="3">
        <v>340234.91800000001</v>
      </c>
      <c r="I8" s="3">
        <v>402607.18</v>
      </c>
      <c r="J8" s="3">
        <v>345797.52799999993</v>
      </c>
      <c r="K8" s="3">
        <v>384084.79399999982</v>
      </c>
      <c r="L8" s="3">
        <v>283398.15100000001</v>
      </c>
      <c r="M8" s="3">
        <v>370536.28900000005</v>
      </c>
      <c r="N8" s="15">
        <f>SUM(B8:M8)</f>
        <v>3798354.8089999999</v>
      </c>
    </row>
    <row r="9" spans="1:14">
      <c r="A9" s="112" t="s">
        <v>68</v>
      </c>
      <c r="B9" s="112">
        <f t="shared" ref="B9:M9" si="1">B8/B6</f>
        <v>0.23101957549959573</v>
      </c>
      <c r="C9" s="112">
        <f t="shared" si="1"/>
        <v>0.1787686097987744</v>
      </c>
      <c r="D9" s="112">
        <f t="shared" si="1"/>
        <v>0.23427102238354508</v>
      </c>
      <c r="E9" s="112">
        <f t="shared" si="1"/>
        <v>0.21095537973751477</v>
      </c>
      <c r="F9" s="112">
        <f t="shared" si="1"/>
        <v>0.18423057860658409</v>
      </c>
      <c r="G9" s="112">
        <f t="shared" si="1"/>
        <v>0.21297889044911703</v>
      </c>
      <c r="H9" s="112">
        <f t="shared" si="1"/>
        <v>0.18266791286657011</v>
      </c>
      <c r="I9" s="112">
        <f t="shared" si="1"/>
        <v>0.26598232989994419</v>
      </c>
      <c r="J9" s="112">
        <f t="shared" si="1"/>
        <v>0.28103276488935658</v>
      </c>
      <c r="K9" s="112">
        <f t="shared" si="1"/>
        <v>0.2751841045946995</v>
      </c>
      <c r="L9" s="112">
        <f t="shared" si="1"/>
        <v>0.21871632745532818</v>
      </c>
      <c r="M9" s="112">
        <f t="shared" si="1"/>
        <v>0.28765705786077206</v>
      </c>
      <c r="N9" s="112">
        <f>N8/N6</f>
        <v>0.22866765146743454</v>
      </c>
    </row>
    <row r="10" spans="1:14">
      <c r="B10" s="41"/>
      <c r="C10" s="41"/>
      <c r="D10" s="41"/>
      <c r="E10" s="41"/>
      <c r="F10" s="41"/>
      <c r="G10" s="41"/>
      <c r="H10" s="41"/>
      <c r="I10" s="41"/>
    </row>
    <row r="28" spans="1:14">
      <c r="A28" s="148" t="s">
        <v>0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</row>
    <row r="29" spans="1:14">
      <c r="A29" s="148" t="s">
        <v>15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</row>
    <row r="30" spans="1:14">
      <c r="A30" s="148" t="s">
        <v>25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</row>
    <row r="31" spans="1:14">
      <c r="A31" s="159">
        <v>2012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</row>
    <row r="32" spans="1:14">
      <c r="A32" s="1" t="s">
        <v>16</v>
      </c>
      <c r="B32" s="1" t="s">
        <v>2</v>
      </c>
      <c r="C32" s="1" t="s">
        <v>4</v>
      </c>
      <c r="D32" s="1" t="s">
        <v>3</v>
      </c>
      <c r="E32" s="1" t="s">
        <v>5</v>
      </c>
      <c r="F32" s="1" t="s">
        <v>6</v>
      </c>
      <c r="G32" s="1" t="s">
        <v>7</v>
      </c>
      <c r="H32" s="1" t="s">
        <v>8</v>
      </c>
      <c r="I32" s="1" t="s">
        <v>9</v>
      </c>
      <c r="J32" s="1" t="s">
        <v>10</v>
      </c>
      <c r="K32" s="1" t="s">
        <v>11</v>
      </c>
      <c r="L32" s="1" t="s">
        <v>12</v>
      </c>
      <c r="M32" s="36" t="s">
        <v>13</v>
      </c>
      <c r="N32" s="34" t="s">
        <v>36</v>
      </c>
    </row>
    <row r="33" spans="1:16">
      <c r="A33" s="16" t="s">
        <v>38</v>
      </c>
      <c r="B33" s="15">
        <f>B34+B35</f>
        <v>138082</v>
      </c>
      <c r="C33" s="15">
        <f t="shared" ref="C33:M33" si="2">C34+C35</f>
        <v>135549</v>
      </c>
      <c r="D33" s="15">
        <f t="shared" si="2"/>
        <v>191772</v>
      </c>
      <c r="E33" s="15">
        <f t="shared" si="2"/>
        <v>155797</v>
      </c>
      <c r="F33" s="32">
        <f t="shared" si="2"/>
        <v>146014</v>
      </c>
      <c r="G33" s="32">
        <f t="shared" si="2"/>
        <v>162847.37099999998</v>
      </c>
      <c r="H33" s="32">
        <f t="shared" si="2"/>
        <v>170683.71199999994</v>
      </c>
      <c r="I33" s="32">
        <f t="shared" si="2"/>
        <v>208678.58650000003</v>
      </c>
      <c r="J33" s="32">
        <f t="shared" si="2"/>
        <v>180016.05099999974</v>
      </c>
      <c r="K33" s="32">
        <f t="shared" si="2"/>
        <v>221461.77199999976</v>
      </c>
      <c r="L33" s="32">
        <f t="shared" si="2"/>
        <v>167689.258</v>
      </c>
      <c r="M33" s="37">
        <f t="shared" si="2"/>
        <v>139888.83850000001</v>
      </c>
      <c r="N33" s="15">
        <f>SUM(B33:M33)</f>
        <v>2018479.5889999997</v>
      </c>
      <c r="P33" s="82"/>
    </row>
    <row r="34" spans="1:16">
      <c r="A34" s="1" t="s">
        <v>1</v>
      </c>
      <c r="B34" s="40">
        <v>105558</v>
      </c>
      <c r="C34" s="40">
        <v>108705</v>
      </c>
      <c r="D34" s="40">
        <v>145232</v>
      </c>
      <c r="E34" s="44">
        <v>104171</v>
      </c>
      <c r="F34" s="40">
        <v>86630</v>
      </c>
      <c r="G34" s="40">
        <v>113066.80299999996</v>
      </c>
      <c r="H34" s="40">
        <v>102522.274</v>
      </c>
      <c r="I34" s="40">
        <v>128170.75949999999</v>
      </c>
      <c r="J34" s="40">
        <v>122139.41999999993</v>
      </c>
      <c r="K34" s="40">
        <v>133105.5659999999</v>
      </c>
      <c r="L34" s="40">
        <v>112299.47200000001</v>
      </c>
      <c r="M34" s="38">
        <v>104057.2285</v>
      </c>
      <c r="N34" s="15">
        <f>SUM(B34:M34)</f>
        <v>1365657.5229999998</v>
      </c>
      <c r="P34" s="82"/>
    </row>
    <row r="35" spans="1:16">
      <c r="A35" s="1" t="s">
        <v>17</v>
      </c>
      <c r="B35" s="40">
        <v>32524</v>
      </c>
      <c r="C35" s="40">
        <v>26844</v>
      </c>
      <c r="D35" s="40">
        <v>46540</v>
      </c>
      <c r="E35" s="40">
        <v>51626</v>
      </c>
      <c r="F35" s="40">
        <v>59384</v>
      </c>
      <c r="G35" s="40">
        <v>49780.568000000021</v>
      </c>
      <c r="H35" s="40">
        <v>68161.437999999951</v>
      </c>
      <c r="I35" s="40">
        <v>80507.827000000034</v>
      </c>
      <c r="J35" s="40">
        <v>57876.630999999834</v>
      </c>
      <c r="K35" s="40">
        <v>88356.20599999986</v>
      </c>
      <c r="L35" s="40">
        <v>55389.785999999993</v>
      </c>
      <c r="M35" s="38">
        <v>35831.61000000003</v>
      </c>
      <c r="N35" s="15">
        <f>SUM(B35:M35)</f>
        <v>652822.06599999964</v>
      </c>
      <c r="P35" s="82"/>
    </row>
    <row r="36" spans="1:16">
      <c r="A36" s="112" t="s">
        <v>68</v>
      </c>
      <c r="B36" s="112">
        <f t="shared" ref="B36:M36" si="3">B35/B33</f>
        <v>0.23554120015642879</v>
      </c>
      <c r="C36" s="112">
        <f t="shared" si="3"/>
        <v>0.19803908549675764</v>
      </c>
      <c r="D36" s="112">
        <f t="shared" si="3"/>
        <v>0.24268402060780511</v>
      </c>
      <c r="E36" s="112">
        <f t="shared" si="3"/>
        <v>0.33136709949485549</v>
      </c>
      <c r="F36" s="112">
        <f t="shared" si="3"/>
        <v>0.40670072732751655</v>
      </c>
      <c r="G36" s="112">
        <f t="shared" si="3"/>
        <v>0.30568849650019847</v>
      </c>
      <c r="H36" s="112">
        <f t="shared" si="3"/>
        <v>0.39934354134505801</v>
      </c>
      <c r="I36" s="112">
        <f t="shared" si="3"/>
        <v>0.38579821892746058</v>
      </c>
      <c r="J36" s="112">
        <f t="shared" si="3"/>
        <v>0.32150816929097015</v>
      </c>
      <c r="K36" s="112">
        <f t="shared" si="3"/>
        <v>0.39896820657607651</v>
      </c>
      <c r="L36" s="112">
        <f t="shared" si="3"/>
        <v>0.33031207043685523</v>
      </c>
      <c r="M36" s="112">
        <f t="shared" si="3"/>
        <v>0.25614345207391243</v>
      </c>
      <c r="N36" s="112">
        <f>N35/N33</f>
        <v>0.32342267395600588</v>
      </c>
      <c r="P36" s="83"/>
    </row>
    <row r="37" spans="1:16">
      <c r="A37" s="27"/>
      <c r="B37" s="35"/>
      <c r="C37" s="35"/>
      <c r="D37" s="35"/>
      <c r="E37" s="43"/>
      <c r="F37" s="35"/>
      <c r="G37" s="35"/>
      <c r="H37" s="35"/>
      <c r="I37" s="35"/>
      <c r="J37" s="35"/>
      <c r="K37" s="35"/>
      <c r="L37" s="35"/>
      <c r="M37" s="35"/>
      <c r="P37" s="84"/>
    </row>
    <row r="56" spans="1:14">
      <c r="A56" s="148" t="s">
        <v>33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</row>
    <row r="57" spans="1:14">
      <c r="A57" s="148" t="s">
        <v>34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</row>
    <row r="58" spans="1:14">
      <c r="A58" s="148" t="s">
        <v>35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</row>
    <row r="59" spans="1:14">
      <c r="A59" s="30"/>
      <c r="B59" s="30"/>
      <c r="C59" s="30"/>
      <c r="D59" s="30"/>
      <c r="E59" s="30"/>
      <c r="F59" s="30"/>
      <c r="G59" s="30">
        <v>2012</v>
      </c>
      <c r="H59" s="30"/>
      <c r="I59" s="30"/>
      <c r="J59" s="30"/>
      <c r="K59" s="30"/>
      <c r="L59" s="30"/>
      <c r="M59" s="30"/>
      <c r="N59" s="30"/>
    </row>
    <row r="60" spans="1:14">
      <c r="A60" s="1" t="s">
        <v>16</v>
      </c>
      <c r="B60" s="28">
        <v>40878</v>
      </c>
      <c r="C60" s="28">
        <v>40909</v>
      </c>
      <c r="D60" s="28">
        <v>40940</v>
      </c>
      <c r="E60" s="28">
        <v>40969</v>
      </c>
      <c r="F60" s="28">
        <v>41000</v>
      </c>
      <c r="G60" s="28">
        <v>41030</v>
      </c>
      <c r="H60" s="28">
        <v>41061</v>
      </c>
      <c r="I60" s="28">
        <v>41091</v>
      </c>
      <c r="J60" s="28">
        <v>41122</v>
      </c>
      <c r="K60" s="28">
        <v>41153</v>
      </c>
      <c r="L60" s="28">
        <v>41183</v>
      </c>
      <c r="M60" s="28">
        <v>41214</v>
      </c>
      <c r="N60" s="28">
        <v>41244</v>
      </c>
    </row>
    <row r="61" spans="1:14">
      <c r="A61" s="1" t="s">
        <v>1</v>
      </c>
      <c r="B61" s="46">
        <v>107250</v>
      </c>
      <c r="C61" s="46">
        <v>105558</v>
      </c>
      <c r="D61" s="47">
        <v>108705</v>
      </c>
      <c r="E61" s="46">
        <v>145232</v>
      </c>
      <c r="F61" s="46">
        <v>104171</v>
      </c>
      <c r="G61" s="46">
        <v>86630</v>
      </c>
      <c r="H61" s="46">
        <v>113066.80299999996</v>
      </c>
      <c r="I61" s="46">
        <v>102522.274</v>
      </c>
      <c r="J61" s="46">
        <v>128170.75949999999</v>
      </c>
      <c r="K61" s="46">
        <v>122139.41999999993</v>
      </c>
      <c r="L61" s="46">
        <v>133105.5659999999</v>
      </c>
      <c r="M61" s="46">
        <v>112299.47200000001</v>
      </c>
      <c r="N61" s="46">
        <v>104057.2285</v>
      </c>
    </row>
    <row r="62" spans="1:14">
      <c r="A62" s="1" t="s">
        <v>17</v>
      </c>
      <c r="B62" s="46">
        <v>37752</v>
      </c>
      <c r="C62" s="46">
        <v>32524</v>
      </c>
      <c r="D62" s="47">
        <v>26844</v>
      </c>
      <c r="E62" s="46">
        <v>46540</v>
      </c>
      <c r="F62" s="46">
        <v>51626</v>
      </c>
      <c r="G62" s="46">
        <v>59384</v>
      </c>
      <c r="H62" s="46">
        <v>49780.568000000021</v>
      </c>
      <c r="I62" s="46">
        <v>68161.437999999951</v>
      </c>
      <c r="J62" s="46">
        <v>80507.827000000034</v>
      </c>
      <c r="K62" s="46">
        <v>57876.630999999834</v>
      </c>
      <c r="L62" s="46">
        <v>88356.20599999986</v>
      </c>
      <c r="M62" s="46">
        <v>55389.785999999993</v>
      </c>
      <c r="N62" s="46">
        <v>35831.61000000003</v>
      </c>
    </row>
    <row r="63" spans="1:14">
      <c r="C63" s="41"/>
    </row>
    <row r="81" spans="1:14">
      <c r="A81" s="148" t="s">
        <v>42</v>
      </c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>
      <c r="A82" s="150" t="s">
        <v>25</v>
      </c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>
      <c r="A83" s="1"/>
      <c r="B83" s="1" t="s">
        <v>2</v>
      </c>
      <c r="C83" s="1" t="s">
        <v>4</v>
      </c>
      <c r="D83" s="1" t="s">
        <v>3</v>
      </c>
      <c r="E83" s="1" t="s">
        <v>5</v>
      </c>
      <c r="F83" s="1" t="s">
        <v>6</v>
      </c>
      <c r="G83" s="1" t="s">
        <v>7</v>
      </c>
      <c r="H83" s="1" t="s">
        <v>8</v>
      </c>
      <c r="I83" s="1" t="s">
        <v>9</v>
      </c>
      <c r="J83" s="1" t="s">
        <v>10</v>
      </c>
      <c r="K83" s="1" t="s">
        <v>11</v>
      </c>
      <c r="L83" s="1" t="s">
        <v>12</v>
      </c>
      <c r="M83" s="1" t="s">
        <v>13</v>
      </c>
      <c r="N83" s="34" t="s">
        <v>36</v>
      </c>
    </row>
    <row r="84" spans="1:14" s="78" customFormat="1">
      <c r="A84" s="79" t="s">
        <v>52</v>
      </c>
      <c r="B84" s="76">
        <f>B85+B86</f>
        <v>1234297</v>
      </c>
      <c r="C84" s="76">
        <f t="shared" ref="C84:L84" si="4">C85+C86</f>
        <v>1170061</v>
      </c>
      <c r="D84" s="76">
        <f t="shared" si="4"/>
        <v>1236444</v>
      </c>
      <c r="E84" s="76">
        <f t="shared" si="4"/>
        <v>1256223</v>
      </c>
      <c r="F84" s="76">
        <f t="shared" si="4"/>
        <v>1509212</v>
      </c>
      <c r="G84" s="76">
        <f t="shared" si="4"/>
        <v>1618460.6290000002</v>
      </c>
      <c r="H84" s="76">
        <f t="shared" si="4"/>
        <v>1862587.2090000003</v>
      </c>
      <c r="I84" s="76">
        <f t="shared" si="4"/>
        <v>1513661.3779999998</v>
      </c>
      <c r="J84" s="76">
        <f t="shared" si="4"/>
        <v>1230452.713</v>
      </c>
      <c r="K84" s="76">
        <f t="shared" si="4"/>
        <v>1395737.5719999997</v>
      </c>
      <c r="L84" s="76">
        <f t="shared" si="4"/>
        <v>1295733.8589999997</v>
      </c>
      <c r="M84" s="80">
        <f>M85+M86</f>
        <v>1288118.1910000001</v>
      </c>
      <c r="N84" s="77">
        <f>N85+N86</f>
        <v>16610988.550999999</v>
      </c>
    </row>
    <row r="85" spans="1:14">
      <c r="A85" s="21" t="s">
        <v>26</v>
      </c>
      <c r="B85" s="40">
        <v>415827</v>
      </c>
      <c r="C85" s="40">
        <v>343456</v>
      </c>
      <c r="D85" s="40">
        <v>466787</v>
      </c>
      <c r="E85" s="40">
        <v>492714</v>
      </c>
      <c r="F85" s="40">
        <v>490175</v>
      </c>
      <c r="G85" s="40">
        <v>512497.41400000011</v>
      </c>
      <c r="H85" s="40">
        <v>388949.28399999993</v>
      </c>
      <c r="I85" s="40">
        <v>379652.66599999997</v>
      </c>
      <c r="J85" s="40">
        <v>307780.19299999974</v>
      </c>
      <c r="K85" s="40">
        <v>475070.71199999982</v>
      </c>
      <c r="L85" s="40">
        <v>412638.02899999998</v>
      </c>
      <c r="M85" s="48">
        <v>377069.50399999996</v>
      </c>
      <c r="N85" s="15">
        <f>SUM(B85:M85)</f>
        <v>5062616.8019999992</v>
      </c>
    </row>
    <row r="86" spans="1:14">
      <c r="A86" s="23" t="s">
        <v>27</v>
      </c>
      <c r="B86" s="40">
        <v>818470</v>
      </c>
      <c r="C86" s="40">
        <v>826605</v>
      </c>
      <c r="D86" s="40">
        <v>769657</v>
      </c>
      <c r="E86" s="40">
        <v>763509</v>
      </c>
      <c r="F86" s="40">
        <v>1019037</v>
      </c>
      <c r="G86" s="40">
        <v>1105963.2150000001</v>
      </c>
      <c r="H86" s="40">
        <v>1473637.9250000003</v>
      </c>
      <c r="I86" s="40">
        <v>1134008.7119999998</v>
      </c>
      <c r="J86" s="40">
        <v>922672.52000000014</v>
      </c>
      <c r="K86" s="40">
        <v>920666.86</v>
      </c>
      <c r="L86" s="40">
        <v>883095.82999999984</v>
      </c>
      <c r="M86" s="40">
        <v>911048.68700000015</v>
      </c>
      <c r="N86" s="15">
        <f>SUM(B86:M86)</f>
        <v>11548371.749</v>
      </c>
    </row>
    <row r="105" spans="1:15">
      <c r="A105" s="155" t="s">
        <v>43</v>
      </c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</row>
    <row r="106" spans="1:15">
      <c r="A106" s="154" t="s">
        <v>25</v>
      </c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</row>
    <row r="107" spans="1:15">
      <c r="A107" s="1"/>
      <c r="B107" s="1" t="s">
        <v>2</v>
      </c>
      <c r="C107" s="1" t="s">
        <v>4</v>
      </c>
      <c r="D107" s="1" t="s">
        <v>3</v>
      </c>
      <c r="E107" s="1" t="s">
        <v>5</v>
      </c>
      <c r="F107" s="1" t="s">
        <v>6</v>
      </c>
      <c r="G107" s="1" t="s">
        <v>7</v>
      </c>
      <c r="H107" s="1" t="s">
        <v>8</v>
      </c>
      <c r="I107" s="1" t="s">
        <v>9</v>
      </c>
      <c r="J107" s="1" t="s">
        <v>10</v>
      </c>
      <c r="K107" s="1" t="s">
        <v>11</v>
      </c>
      <c r="L107" s="1" t="s">
        <v>12</v>
      </c>
      <c r="M107" s="1" t="s">
        <v>13</v>
      </c>
      <c r="N107" s="34" t="s">
        <v>36</v>
      </c>
    </row>
    <row r="108" spans="1:15">
      <c r="A108" s="19" t="s">
        <v>28</v>
      </c>
      <c r="B108" s="24">
        <f>30969610960/1000</f>
        <v>30969610.960000001</v>
      </c>
      <c r="C108" s="24">
        <f>36191175920/1000</f>
        <v>36191175.920000002</v>
      </c>
      <c r="D108" s="24">
        <f>43958152256/1000</f>
        <v>43958152.255999997</v>
      </c>
      <c r="E108" s="24">
        <f>40753049560/1000</f>
        <v>40753049.560000002</v>
      </c>
      <c r="F108" s="24">
        <f>46621809076/1000</f>
        <v>46621809.075999998</v>
      </c>
      <c r="G108" s="24">
        <f>41129888051/1000</f>
        <v>41129888.050999999</v>
      </c>
      <c r="H108" s="24">
        <f>45333282005/1000</f>
        <v>45333282.005000003</v>
      </c>
      <c r="I108" s="24">
        <f>46145926781/1000</f>
        <v>46145926.781000003</v>
      </c>
      <c r="J108" s="24">
        <f>44912443616/1000</f>
        <v>44912443.615999997</v>
      </c>
      <c r="K108" s="47">
        <f>50874905553/1000</f>
        <v>50874905.553000003</v>
      </c>
      <c r="L108" s="47">
        <f>49249056119/1000</f>
        <v>49249056.119000003</v>
      </c>
      <c r="M108" s="24">
        <f>48906093631/1000</f>
        <v>48906093.630999997</v>
      </c>
      <c r="N108" s="15">
        <f>SUM(B108:M108)</f>
        <v>525045393.528</v>
      </c>
    </row>
    <row r="109" spans="1:15">
      <c r="A109" s="18" t="s">
        <v>29</v>
      </c>
      <c r="B109" s="40">
        <f>818469938/1000</f>
        <v>818469.93799999997</v>
      </c>
      <c r="C109" s="40">
        <v>806605</v>
      </c>
      <c r="D109" s="40">
        <f>D86</f>
        <v>769657</v>
      </c>
      <c r="E109" s="40">
        <v>763509</v>
      </c>
      <c r="F109" s="40">
        <v>1019037</v>
      </c>
      <c r="G109" s="40">
        <v>1105963.2150000001</v>
      </c>
      <c r="H109" s="40">
        <v>1473637.9250000003</v>
      </c>
      <c r="I109" s="40">
        <v>1134008.7119999998</v>
      </c>
      <c r="J109" s="40">
        <v>922672.52000000014</v>
      </c>
      <c r="K109" s="40">
        <f>K86</f>
        <v>920666.86</v>
      </c>
      <c r="L109" s="40">
        <f>L86</f>
        <v>883095.82999999984</v>
      </c>
      <c r="M109" s="40">
        <f>M86</f>
        <v>911048.68700000015</v>
      </c>
      <c r="N109" s="15">
        <f>SUM(B109:M109)</f>
        <v>11528371.686999999</v>
      </c>
    </row>
    <row r="110" spans="1:15">
      <c r="A110" s="118" t="s">
        <v>39</v>
      </c>
      <c r="B110" s="112">
        <f t="shared" ref="B110:M110" si="5">B109/B108</f>
        <v>2.6428163371413561E-2</v>
      </c>
      <c r="C110" s="112">
        <f t="shared" si="5"/>
        <v>2.2287338819357155E-2</v>
      </c>
      <c r="D110" s="112">
        <f t="shared" si="5"/>
        <v>1.7508856958266414E-2</v>
      </c>
      <c r="E110" s="112">
        <f t="shared" si="5"/>
        <v>1.8735015127540309E-2</v>
      </c>
      <c r="F110" s="112">
        <f t="shared" si="5"/>
        <v>2.1857517333547242E-2</v>
      </c>
      <c r="G110" s="112">
        <f t="shared" si="5"/>
        <v>2.6889526507551741E-2</v>
      </c>
      <c r="H110" s="112">
        <f t="shared" si="5"/>
        <v>3.2506755739358698E-2</v>
      </c>
      <c r="I110" s="112">
        <f t="shared" si="5"/>
        <v>2.4574405394040402E-2</v>
      </c>
      <c r="J110" s="112">
        <f t="shared" si="5"/>
        <v>2.0543805807780615E-2</v>
      </c>
      <c r="K110" s="112">
        <f t="shared" si="5"/>
        <v>1.8096679492424335E-2</v>
      </c>
      <c r="L110" s="112">
        <f t="shared" si="5"/>
        <v>1.7931223450581148E-2</v>
      </c>
      <c r="M110" s="112">
        <f t="shared" si="5"/>
        <v>1.8628531116672866E-2</v>
      </c>
      <c r="N110" s="112">
        <f>N109/N108</f>
        <v>2.1956904734533596E-2</v>
      </c>
      <c r="O110" s="42"/>
    </row>
    <row r="127" spans="1:14">
      <c r="A127" s="155" t="s">
        <v>44</v>
      </c>
      <c r="B127" s="155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</row>
    <row r="128" spans="1:14">
      <c r="A128" s="154" t="s">
        <v>25</v>
      </c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</row>
    <row r="129" spans="1:15">
      <c r="A129" s="1"/>
      <c r="B129" s="1" t="s">
        <v>2</v>
      </c>
      <c r="C129" s="1" t="s">
        <v>4</v>
      </c>
      <c r="D129" s="1" t="s">
        <v>3</v>
      </c>
      <c r="E129" s="1" t="s">
        <v>5</v>
      </c>
      <c r="F129" s="1" t="s">
        <v>6</v>
      </c>
      <c r="G129" s="1" t="s">
        <v>7</v>
      </c>
      <c r="H129" s="1" t="s">
        <v>8</v>
      </c>
      <c r="I129" s="1" t="s">
        <v>9</v>
      </c>
      <c r="J129" s="1" t="s">
        <v>10</v>
      </c>
      <c r="K129" s="1" t="s">
        <v>11</v>
      </c>
      <c r="L129" s="1" t="s">
        <v>12</v>
      </c>
      <c r="M129" s="1" t="s">
        <v>13</v>
      </c>
      <c r="N129" s="34" t="s">
        <v>36</v>
      </c>
    </row>
    <row r="130" spans="1:15">
      <c r="A130" s="19" t="s">
        <v>28</v>
      </c>
      <c r="B130" s="40">
        <f>9936723972/1000</f>
        <v>9936723.9719999991</v>
      </c>
      <c r="C130" s="40">
        <f>8125854151/1000</f>
        <v>8125854.1509999996</v>
      </c>
      <c r="D130" s="40">
        <f>9668638701/1000</f>
        <v>9668638.7009999994</v>
      </c>
      <c r="E130" s="40">
        <f>10159354568/1000</f>
        <v>10159354.568</v>
      </c>
      <c r="F130" s="40">
        <f>10881690355/1000</f>
        <v>10881690.355</v>
      </c>
      <c r="G130" s="40">
        <f>10927663487/1000</f>
        <v>10927663.487</v>
      </c>
      <c r="H130" s="40">
        <f>11342093876/1000</f>
        <v>11342093.876</v>
      </c>
      <c r="I130" s="40">
        <f>10926939069/1000</f>
        <v>10926939.069</v>
      </c>
      <c r="J130" s="40">
        <f>10233533108/1000</f>
        <v>10233533.107999999</v>
      </c>
      <c r="K130" s="40">
        <f>10683112766/1000</f>
        <v>10683112.766000001</v>
      </c>
      <c r="L130" s="40">
        <f>13076240569/1000</f>
        <v>13076240.569</v>
      </c>
      <c r="M130" s="40">
        <f>10832069220/1000</f>
        <v>10832069.220000001</v>
      </c>
      <c r="N130" s="15">
        <f>SUM(B130:M130)</f>
        <v>126793913.84200002</v>
      </c>
    </row>
    <row r="131" spans="1:15">
      <c r="A131" s="18" t="s">
        <v>29</v>
      </c>
      <c r="B131" s="40">
        <f>415827430/1000</f>
        <v>415827.43</v>
      </c>
      <c r="C131" s="40">
        <v>343456</v>
      </c>
      <c r="D131" s="40">
        <v>466787</v>
      </c>
      <c r="E131" s="40">
        <v>492714</v>
      </c>
      <c r="F131" s="40">
        <v>490175</v>
      </c>
      <c r="G131" s="40">
        <v>512497.41400000011</v>
      </c>
      <c r="H131" s="40">
        <v>388949.28399999993</v>
      </c>
      <c r="I131" s="40">
        <v>379652.66599999997</v>
      </c>
      <c r="J131" s="40">
        <v>307780.19299999974</v>
      </c>
      <c r="K131" s="40">
        <f>K85</f>
        <v>475070.71199999982</v>
      </c>
      <c r="L131" s="40">
        <f>L85</f>
        <v>412638.02899999998</v>
      </c>
      <c r="M131" s="40">
        <f>M85</f>
        <v>377069.50399999996</v>
      </c>
      <c r="N131" s="15">
        <f>SUM(B131:M131)</f>
        <v>5062617.2319999989</v>
      </c>
    </row>
    <row r="132" spans="1:15">
      <c r="A132" s="118" t="s">
        <v>39</v>
      </c>
      <c r="B132" s="112">
        <f t="shared" ref="B132:M132" si="6">B131/B130</f>
        <v>4.1847537596065978E-2</v>
      </c>
      <c r="C132" s="112">
        <f t="shared" si="6"/>
        <v>4.226706431319998E-2</v>
      </c>
      <c r="D132" s="112">
        <f t="shared" si="6"/>
        <v>4.8278461367236895E-2</v>
      </c>
      <c r="E132" s="112">
        <f t="shared" si="6"/>
        <v>4.849855339747209E-2</v>
      </c>
      <c r="F132" s="112">
        <f t="shared" si="6"/>
        <v>4.5045850783170902E-2</v>
      </c>
      <c r="G132" s="112">
        <f t="shared" si="6"/>
        <v>4.6899084567317451E-2</v>
      </c>
      <c r="H132" s="112">
        <f t="shared" si="6"/>
        <v>3.4292546707184381E-2</v>
      </c>
      <c r="I132" s="112">
        <f t="shared" si="6"/>
        <v>3.4744649311451194E-2</v>
      </c>
      <c r="J132" s="112">
        <f t="shared" si="6"/>
        <v>3.0075653222775479E-2</v>
      </c>
      <c r="K132" s="112">
        <f t="shared" si="6"/>
        <v>4.4469315489391495E-2</v>
      </c>
      <c r="L132" s="112">
        <f t="shared" si="6"/>
        <v>3.1556319786456503E-2</v>
      </c>
      <c r="M132" s="112">
        <f t="shared" si="6"/>
        <v>3.4810477697445878E-2</v>
      </c>
      <c r="N132" s="112">
        <f>N131/N130</f>
        <v>3.992791987089072E-2</v>
      </c>
      <c r="O132" s="42"/>
    </row>
    <row r="150" spans="1:14">
      <c r="A150" s="152" t="s">
        <v>58</v>
      </c>
      <c r="B150" s="152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</row>
    <row r="151" spans="1:14">
      <c r="A151" s="153" t="s">
        <v>25</v>
      </c>
      <c r="B151" s="153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</row>
    <row r="152" spans="1:14">
      <c r="A152" s="98"/>
      <c r="B152" s="93" t="s">
        <v>2</v>
      </c>
      <c r="C152" s="93" t="s">
        <v>4</v>
      </c>
      <c r="D152" s="93" t="s">
        <v>3</v>
      </c>
      <c r="E152" s="93" t="s">
        <v>5</v>
      </c>
      <c r="F152" s="93" t="s">
        <v>6</v>
      </c>
      <c r="G152" s="93" t="s">
        <v>7</v>
      </c>
      <c r="H152" s="93" t="s">
        <v>8</v>
      </c>
      <c r="I152" s="93" t="s">
        <v>9</v>
      </c>
      <c r="J152" s="93" t="s">
        <v>10</v>
      </c>
      <c r="K152" s="93" t="s">
        <v>11</v>
      </c>
      <c r="L152" s="93" t="s">
        <v>12</v>
      </c>
      <c r="M152" s="93" t="s">
        <v>13</v>
      </c>
      <c r="N152" s="94" t="s">
        <v>36</v>
      </c>
    </row>
    <row r="153" spans="1:14">
      <c r="A153" s="19" t="s">
        <v>28</v>
      </c>
      <c r="B153" s="102">
        <f>B108+B130</f>
        <v>40906334.931999996</v>
      </c>
      <c r="C153" s="102">
        <f t="shared" ref="C153:N153" si="7">C108+C130</f>
        <v>44317030.071000002</v>
      </c>
      <c r="D153" s="102">
        <f t="shared" si="7"/>
        <v>53626790.956999995</v>
      </c>
      <c r="E153" s="102">
        <f t="shared" si="7"/>
        <v>50912404.128000006</v>
      </c>
      <c r="F153" s="102">
        <f t="shared" si="7"/>
        <v>57503499.430999994</v>
      </c>
      <c r="G153" s="102">
        <f t="shared" si="7"/>
        <v>52057551.538000003</v>
      </c>
      <c r="H153" s="102">
        <f t="shared" si="7"/>
        <v>56675375.881000005</v>
      </c>
      <c r="I153" s="102">
        <f t="shared" si="7"/>
        <v>57072865.850000001</v>
      </c>
      <c r="J153" s="102">
        <f t="shared" si="7"/>
        <v>55145976.723999992</v>
      </c>
      <c r="K153" s="102">
        <f t="shared" si="7"/>
        <v>61558018.319000006</v>
      </c>
      <c r="L153" s="102">
        <f t="shared" si="7"/>
        <v>62325296.688000001</v>
      </c>
      <c r="M153" s="102">
        <f t="shared" si="7"/>
        <v>59738162.850999996</v>
      </c>
      <c r="N153" s="102">
        <f t="shared" si="7"/>
        <v>651839307.37</v>
      </c>
    </row>
    <row r="154" spans="1:14">
      <c r="A154" s="18" t="s">
        <v>29</v>
      </c>
      <c r="B154" s="117">
        <f>B84</f>
        <v>1234297</v>
      </c>
      <c r="C154" s="117">
        <f t="shared" ref="C154:N154" si="8">C84</f>
        <v>1170061</v>
      </c>
      <c r="D154" s="117">
        <f t="shared" si="8"/>
        <v>1236444</v>
      </c>
      <c r="E154" s="117">
        <f t="shared" si="8"/>
        <v>1256223</v>
      </c>
      <c r="F154" s="117">
        <f t="shared" si="8"/>
        <v>1509212</v>
      </c>
      <c r="G154" s="117">
        <f t="shared" si="8"/>
        <v>1618460.6290000002</v>
      </c>
      <c r="H154" s="117">
        <f t="shared" si="8"/>
        <v>1862587.2090000003</v>
      </c>
      <c r="I154" s="117">
        <f t="shared" si="8"/>
        <v>1513661.3779999998</v>
      </c>
      <c r="J154" s="117">
        <f t="shared" si="8"/>
        <v>1230452.713</v>
      </c>
      <c r="K154" s="117">
        <f t="shared" si="8"/>
        <v>1395737.5719999997</v>
      </c>
      <c r="L154" s="117">
        <f t="shared" si="8"/>
        <v>1295733.8589999997</v>
      </c>
      <c r="M154" s="117">
        <f t="shared" si="8"/>
        <v>1288118.1910000001</v>
      </c>
      <c r="N154" s="117">
        <f t="shared" si="8"/>
        <v>16610988.550999999</v>
      </c>
    </row>
    <row r="155" spans="1:14">
      <c r="A155" s="118" t="s">
        <v>39</v>
      </c>
      <c r="B155" s="116">
        <f>B154/B153</f>
        <v>3.0173737198695857E-2</v>
      </c>
      <c r="C155" s="116">
        <f t="shared" ref="C155:N155" si="9">C154/C153</f>
        <v>2.6402062550794886E-2</v>
      </c>
      <c r="D155" s="116">
        <f t="shared" si="9"/>
        <v>2.3056460734177213E-2</v>
      </c>
      <c r="E155" s="116">
        <f t="shared" si="9"/>
        <v>2.467420310464424E-2</v>
      </c>
      <c r="F155" s="116">
        <f t="shared" si="9"/>
        <v>2.6245567920800097E-2</v>
      </c>
      <c r="G155" s="116">
        <f t="shared" si="9"/>
        <v>3.1089833870088693E-2</v>
      </c>
      <c r="H155" s="116">
        <f t="shared" si="9"/>
        <v>3.2864135085946891E-2</v>
      </c>
      <c r="I155" s="116">
        <f t="shared" si="9"/>
        <v>2.6521558983532274E-2</v>
      </c>
      <c r="J155" s="116">
        <f t="shared" si="9"/>
        <v>2.2312647016087695E-2</v>
      </c>
      <c r="K155" s="116">
        <f t="shared" si="9"/>
        <v>2.2673529949699543E-2</v>
      </c>
      <c r="L155" s="116">
        <f t="shared" si="9"/>
        <v>2.0789854647406403E-2</v>
      </c>
      <c r="M155" s="116">
        <f t="shared" si="9"/>
        <v>2.1562735268790368E-2</v>
      </c>
      <c r="N155" s="116">
        <f t="shared" si="9"/>
        <v>2.5483256936469457E-2</v>
      </c>
    </row>
    <row r="156" spans="1:14">
      <c r="A156" t="s">
        <v>21</v>
      </c>
    </row>
  </sheetData>
  <mergeCells count="19">
    <mergeCell ref="A106:N106"/>
    <mergeCell ref="A127:N127"/>
    <mergeCell ref="A128:N128"/>
    <mergeCell ref="A150:N150"/>
    <mergeCell ref="A151:N151"/>
    <mergeCell ref="A82:N82"/>
    <mergeCell ref="A105:N105"/>
    <mergeCell ref="A81:N81"/>
    <mergeCell ref="A1:N1"/>
    <mergeCell ref="A2:N2"/>
    <mergeCell ref="A3:N3"/>
    <mergeCell ref="A4:N4"/>
    <mergeCell ref="A28:N28"/>
    <mergeCell ref="A29:N29"/>
    <mergeCell ref="A30:N30"/>
    <mergeCell ref="A31:N31"/>
    <mergeCell ref="A56:N56"/>
    <mergeCell ref="A57:N57"/>
    <mergeCell ref="A58:N5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87"/>
  <sheetViews>
    <sheetView topLeftCell="A146" zoomScale="90" zoomScaleNormal="90" workbookViewId="0">
      <selection activeCell="A160" sqref="A160"/>
    </sheetView>
  </sheetViews>
  <sheetFormatPr defaultRowHeight="15"/>
  <cols>
    <col min="1" max="1" width="33.28515625" bestFit="1" customWidth="1"/>
    <col min="2" max="2" width="12.140625" bestFit="1" customWidth="1"/>
    <col min="3" max="5" width="12.140625" customWidth="1"/>
    <col min="6" max="11" width="12.140625" bestFit="1" customWidth="1"/>
    <col min="12" max="12" width="12.5703125" customWidth="1"/>
    <col min="13" max="13" width="13.85546875" bestFit="1" customWidth="1"/>
    <col min="14" max="14" width="13.28515625" bestFit="1" customWidth="1"/>
  </cols>
  <sheetData>
    <row r="1" spans="1:14">
      <c r="A1" s="156" t="s">
        <v>54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>
      <c r="A2" s="156" t="s">
        <v>46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>
      <c r="A3" s="148" t="s">
        <v>25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>
      <c r="A4" s="160">
        <v>2013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14">
      <c r="A5" s="1" t="s">
        <v>16</v>
      </c>
      <c r="B5" s="93" t="s">
        <v>2</v>
      </c>
      <c r="C5" s="93" t="s">
        <v>4</v>
      </c>
      <c r="D5" s="93" t="s">
        <v>3</v>
      </c>
      <c r="E5" s="93" t="s">
        <v>5</v>
      </c>
      <c r="F5" s="93" t="s">
        <v>6</v>
      </c>
      <c r="G5" s="93" t="s">
        <v>7</v>
      </c>
      <c r="H5" s="93" t="s">
        <v>8</v>
      </c>
      <c r="I5" s="93" t="s">
        <v>9</v>
      </c>
      <c r="J5" s="93" t="s">
        <v>10</v>
      </c>
      <c r="K5" s="93" t="s">
        <v>11</v>
      </c>
      <c r="L5" s="93" t="s">
        <v>12</v>
      </c>
      <c r="M5" s="93" t="s">
        <v>13</v>
      </c>
      <c r="N5" s="94" t="s">
        <v>36</v>
      </c>
    </row>
    <row r="6" spans="1:14">
      <c r="A6" s="16" t="s">
        <v>53</v>
      </c>
      <c r="B6" s="15">
        <f>B7+B8</f>
        <v>1007503.374</v>
      </c>
      <c r="C6" s="15">
        <f t="shared" ref="C6:M6" si="0">C7+C8</f>
        <v>810664.24699999997</v>
      </c>
      <c r="D6" s="15">
        <f t="shared" si="0"/>
        <v>1153420.8539999998</v>
      </c>
      <c r="E6" s="15">
        <f t="shared" si="0"/>
        <v>1396176.122</v>
      </c>
      <c r="F6" s="15">
        <f t="shared" si="0"/>
        <v>1549183.4610000001</v>
      </c>
      <c r="G6" s="15">
        <f t="shared" si="0"/>
        <v>1337334.5009999999</v>
      </c>
      <c r="H6" s="15">
        <f t="shared" si="0"/>
        <v>1727865.0320000001</v>
      </c>
      <c r="I6" s="15">
        <f t="shared" si="0"/>
        <v>1441729.368</v>
      </c>
      <c r="J6" s="15">
        <f t="shared" si="0"/>
        <v>1616977.9230000002</v>
      </c>
      <c r="K6" s="15">
        <f t="shared" si="0"/>
        <v>1394473.328</v>
      </c>
      <c r="L6" s="15">
        <f t="shared" si="0"/>
        <v>1329520</v>
      </c>
      <c r="M6" s="15">
        <f t="shared" si="0"/>
        <v>999200</v>
      </c>
      <c r="N6" s="15">
        <f>SUM(B6:M6)</f>
        <v>15764048.210000001</v>
      </c>
    </row>
    <row r="7" spans="1:14">
      <c r="A7" s="1" t="s">
        <v>1</v>
      </c>
      <c r="B7" s="3">
        <v>762790.15999999992</v>
      </c>
      <c r="C7" s="3">
        <v>506905.01199999993</v>
      </c>
      <c r="D7" s="3">
        <v>927339.64999999991</v>
      </c>
      <c r="E7" s="3">
        <v>1132902.5179999999</v>
      </c>
      <c r="F7" s="3">
        <v>1288400.8230000001</v>
      </c>
      <c r="G7" s="3">
        <v>1084478.6869999999</v>
      </c>
      <c r="H7" s="3">
        <v>1384294.358</v>
      </c>
      <c r="I7" s="3">
        <v>1132604.162</v>
      </c>
      <c r="J7" s="3">
        <v>1375780.7690000001</v>
      </c>
      <c r="K7" s="3">
        <v>1009640.0430000001</v>
      </c>
      <c r="L7" s="3">
        <v>1090640</v>
      </c>
      <c r="M7" s="92">
        <v>707456</v>
      </c>
      <c r="N7" s="15">
        <f>SUM(B7:M7)</f>
        <v>12403232.181999998</v>
      </c>
    </row>
    <row r="8" spans="1:14">
      <c r="A8" s="1" t="s">
        <v>17</v>
      </c>
      <c r="B8" s="3">
        <v>244713.21400000001</v>
      </c>
      <c r="C8" s="3">
        <v>303759.23499999999</v>
      </c>
      <c r="D8" s="3">
        <v>226081.20400000003</v>
      </c>
      <c r="E8" s="3">
        <v>263273.60399999993</v>
      </c>
      <c r="F8" s="3">
        <v>260782.63800000004</v>
      </c>
      <c r="G8" s="3">
        <v>252855.81399999998</v>
      </c>
      <c r="H8" s="3">
        <v>343570.674</v>
      </c>
      <c r="I8" s="3">
        <v>309125.20600000001</v>
      </c>
      <c r="J8" s="3">
        <v>241197.15400000001</v>
      </c>
      <c r="K8" s="3">
        <v>384833.28499999992</v>
      </c>
      <c r="L8" s="3">
        <v>238880</v>
      </c>
      <c r="M8" s="101">
        <v>291744</v>
      </c>
      <c r="N8" s="15">
        <f>SUM(B8:M8)</f>
        <v>3360816.0279999999</v>
      </c>
    </row>
    <row r="9" spans="1:14">
      <c r="A9" s="112" t="s">
        <v>68</v>
      </c>
      <c r="B9" s="33">
        <f t="shared" ref="B9:M9" si="1">B8/B6</f>
        <v>0.24289071413074992</v>
      </c>
      <c r="C9" s="33">
        <f t="shared" si="1"/>
        <v>0.37470412211234472</v>
      </c>
      <c r="D9" s="33">
        <f t="shared" si="1"/>
        <v>0.19600929115852458</v>
      </c>
      <c r="E9" s="33">
        <f t="shared" si="1"/>
        <v>0.18856761682964804</v>
      </c>
      <c r="F9" s="33">
        <f t="shared" si="1"/>
        <v>0.16833554228087644</v>
      </c>
      <c r="G9" s="33">
        <f t="shared" si="1"/>
        <v>0.18907447150352102</v>
      </c>
      <c r="H9" s="33">
        <f t="shared" si="1"/>
        <v>0.19884115231055846</v>
      </c>
      <c r="I9" s="33">
        <f t="shared" si="1"/>
        <v>0.2144127829128053</v>
      </c>
      <c r="J9" s="33">
        <f t="shared" si="1"/>
        <v>0.14916539710851698</v>
      </c>
      <c r="K9" s="33">
        <f t="shared" si="1"/>
        <v>0.27597034469776527</v>
      </c>
      <c r="L9" s="33">
        <f t="shared" si="1"/>
        <v>0.17967386726036463</v>
      </c>
      <c r="M9" s="33">
        <f t="shared" si="1"/>
        <v>0.2919775820656525</v>
      </c>
      <c r="N9" s="33">
        <f>N8/N6</f>
        <v>0.2131949854015322</v>
      </c>
    </row>
    <row r="10" spans="1:14">
      <c r="B10" s="41"/>
      <c r="C10" s="41"/>
      <c r="D10" s="41"/>
      <c r="E10" s="41"/>
      <c r="F10" s="41"/>
      <c r="G10" s="41"/>
      <c r="H10" s="41"/>
      <c r="I10" s="41"/>
    </row>
    <row r="28" spans="1:14">
      <c r="A28" s="148" t="s">
        <v>54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</row>
    <row r="29" spans="1:14">
      <c r="A29" s="148" t="s">
        <v>15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</row>
    <row r="30" spans="1:14">
      <c r="A30" s="148" t="s">
        <v>25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</row>
    <row r="31" spans="1:14">
      <c r="A31" s="159">
        <v>2013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</row>
    <row r="32" spans="1:14" s="96" customFormat="1">
      <c r="A32" s="93" t="s">
        <v>16</v>
      </c>
      <c r="B32" s="93" t="s">
        <v>2</v>
      </c>
      <c r="C32" s="93" t="s">
        <v>4</v>
      </c>
      <c r="D32" s="93" t="s">
        <v>3</v>
      </c>
      <c r="E32" s="93" t="s">
        <v>5</v>
      </c>
      <c r="F32" s="93" t="s">
        <v>6</v>
      </c>
      <c r="G32" s="93" t="s">
        <v>7</v>
      </c>
      <c r="H32" s="93" t="s">
        <v>8</v>
      </c>
      <c r="I32" s="93" t="s">
        <v>9</v>
      </c>
      <c r="J32" s="93" t="s">
        <v>10</v>
      </c>
      <c r="K32" s="93" t="s">
        <v>11</v>
      </c>
      <c r="L32" s="93" t="s">
        <v>12</v>
      </c>
      <c r="M32" s="95" t="s">
        <v>13</v>
      </c>
      <c r="N32" s="94" t="s">
        <v>36</v>
      </c>
    </row>
    <row r="33" spans="1:14" s="9" customFormat="1">
      <c r="A33" s="16" t="s">
        <v>36</v>
      </c>
      <c r="B33" s="15">
        <f>B34+B35</f>
        <v>133515.19900000002</v>
      </c>
      <c r="C33" s="15">
        <f t="shared" ref="C33:M33" si="2">C34+C35</f>
        <v>147179.48099999997</v>
      </c>
      <c r="D33" s="15">
        <f t="shared" si="2"/>
        <v>138063.421</v>
      </c>
      <c r="E33" s="15">
        <f t="shared" si="2"/>
        <v>181812.23249999993</v>
      </c>
      <c r="F33" s="15">
        <f t="shared" si="2"/>
        <v>168923.3265</v>
      </c>
      <c r="G33" s="15">
        <f t="shared" si="2"/>
        <v>163727.96049999996</v>
      </c>
      <c r="H33" s="15">
        <f t="shared" si="2"/>
        <v>236177.02749999991</v>
      </c>
      <c r="I33" s="15">
        <f t="shared" si="2"/>
        <v>161450.62699999998</v>
      </c>
      <c r="J33" s="15">
        <f t="shared" si="2"/>
        <v>215105.08899999998</v>
      </c>
      <c r="K33" s="15">
        <f t="shared" si="2"/>
        <v>276096.3594999999</v>
      </c>
      <c r="L33" s="15">
        <f t="shared" si="2"/>
        <v>249303</v>
      </c>
      <c r="M33" s="97">
        <f t="shared" si="2"/>
        <v>184499</v>
      </c>
      <c r="N33" s="15">
        <f>SUM(B33:M33)</f>
        <v>2255852.7234999998</v>
      </c>
    </row>
    <row r="34" spans="1:14">
      <c r="A34" s="1" t="s">
        <v>1</v>
      </c>
      <c r="B34" s="40">
        <v>107633.84900000002</v>
      </c>
      <c r="C34" s="40">
        <v>110111.39199999993</v>
      </c>
      <c r="D34" s="40">
        <v>98139.165000000008</v>
      </c>
      <c r="E34" s="44">
        <v>116050.42449999996</v>
      </c>
      <c r="F34" s="40">
        <v>126389.89249999999</v>
      </c>
      <c r="G34" s="40">
        <v>127862.05749999995</v>
      </c>
      <c r="H34" s="40">
        <v>175895.59949999995</v>
      </c>
      <c r="I34" s="40">
        <v>106410.27499999998</v>
      </c>
      <c r="J34" s="40">
        <v>171337.38399999996</v>
      </c>
      <c r="K34" s="40">
        <v>188731.38349999994</v>
      </c>
      <c r="L34" s="40">
        <f>202948</f>
        <v>202948</v>
      </c>
      <c r="M34" s="92">
        <v>137496</v>
      </c>
      <c r="N34" s="15">
        <f>SUM(B34:M34)</f>
        <v>1669005.4224999999</v>
      </c>
    </row>
    <row r="35" spans="1:14">
      <c r="A35" s="1" t="s">
        <v>17</v>
      </c>
      <c r="B35" s="40">
        <v>25881.350000000013</v>
      </c>
      <c r="C35" s="40">
        <v>37068.089000000036</v>
      </c>
      <c r="D35" s="40">
        <v>39924.256000000001</v>
      </c>
      <c r="E35" s="40">
        <v>65761.807999999946</v>
      </c>
      <c r="F35" s="40">
        <v>42533.434000000016</v>
      </c>
      <c r="G35" s="40">
        <v>35865.902999999998</v>
      </c>
      <c r="H35" s="40">
        <v>60281.427999999956</v>
      </c>
      <c r="I35" s="40">
        <v>55040.351999999999</v>
      </c>
      <c r="J35" s="40">
        <v>43767.705000000016</v>
      </c>
      <c r="K35" s="40">
        <v>87364.975999999937</v>
      </c>
      <c r="L35" s="40">
        <f>46355</f>
        <v>46355</v>
      </c>
      <c r="M35" s="92">
        <v>47003</v>
      </c>
      <c r="N35" s="15">
        <f>SUM(B35:M35)</f>
        <v>586847.30099999986</v>
      </c>
    </row>
    <row r="36" spans="1:14">
      <c r="A36" s="112" t="s">
        <v>68</v>
      </c>
      <c r="B36" s="31">
        <f t="shared" ref="B36:M36" si="3">B35/B33</f>
        <v>0.19384572089054827</v>
      </c>
      <c r="C36" s="31">
        <f t="shared" si="3"/>
        <v>0.25185636440721004</v>
      </c>
      <c r="D36" s="31">
        <f t="shared" si="3"/>
        <v>0.28917330680948433</v>
      </c>
      <c r="E36" s="31">
        <f t="shared" si="3"/>
        <v>0.36170177933434688</v>
      </c>
      <c r="F36" s="31">
        <f t="shared" si="3"/>
        <v>0.2517913593182764</v>
      </c>
      <c r="G36" s="31">
        <f t="shared" si="3"/>
        <v>0.21905789878815479</v>
      </c>
      <c r="H36" s="31">
        <f t="shared" si="3"/>
        <v>0.25523832117837952</v>
      </c>
      <c r="I36" s="31">
        <f t="shared" si="3"/>
        <v>0.34091135489984814</v>
      </c>
      <c r="J36" s="31">
        <f t="shared" si="3"/>
        <v>0.20347126701405013</v>
      </c>
      <c r="K36" s="31">
        <f t="shared" si="3"/>
        <v>0.31642929359233352</v>
      </c>
      <c r="L36" s="31">
        <f t="shared" si="3"/>
        <v>0.18593839624874148</v>
      </c>
      <c r="M36" s="31">
        <f t="shared" si="3"/>
        <v>0.25476018840210518</v>
      </c>
      <c r="N36" s="33">
        <f>N35/N33</f>
        <v>0.26014433251187369</v>
      </c>
    </row>
    <row r="37" spans="1:14">
      <c r="A37" s="27"/>
      <c r="B37" s="35"/>
      <c r="C37" s="35"/>
      <c r="D37" s="35"/>
      <c r="E37" s="43"/>
      <c r="F37" s="35"/>
      <c r="G37" s="35"/>
      <c r="H37" s="35"/>
      <c r="I37" s="35"/>
      <c r="J37" s="35"/>
      <c r="K37" s="35"/>
      <c r="L37" s="35"/>
      <c r="M37" s="35"/>
    </row>
    <row r="56" spans="1:14">
      <c r="A56" s="148" t="s">
        <v>33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57"/>
    </row>
    <row r="57" spans="1:14">
      <c r="A57" s="148" t="s">
        <v>34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57"/>
    </row>
    <row r="58" spans="1:14">
      <c r="A58" s="148" t="s">
        <v>35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57"/>
    </row>
    <row r="59" spans="1:14">
      <c r="A59" s="30"/>
      <c r="B59" s="30"/>
      <c r="C59" s="30"/>
      <c r="D59" s="30"/>
      <c r="E59" s="30"/>
      <c r="F59" s="30"/>
      <c r="G59" s="30">
        <v>2013</v>
      </c>
      <c r="H59" s="30"/>
      <c r="I59" s="30"/>
      <c r="J59" s="30"/>
      <c r="K59" s="30"/>
      <c r="L59" s="30"/>
      <c r="M59" s="30"/>
      <c r="N59" s="57"/>
    </row>
    <row r="60" spans="1:14">
      <c r="A60" s="16" t="s">
        <v>16</v>
      </c>
      <c r="B60" s="67">
        <v>41275</v>
      </c>
      <c r="C60" s="67">
        <v>41306</v>
      </c>
      <c r="D60" s="67">
        <v>41334</v>
      </c>
      <c r="E60" s="67">
        <v>41365</v>
      </c>
      <c r="F60" s="67">
        <v>41395</v>
      </c>
      <c r="G60" s="67">
        <v>41426</v>
      </c>
      <c r="H60" s="67">
        <v>41456</v>
      </c>
      <c r="I60" s="67">
        <v>41487</v>
      </c>
      <c r="J60" s="67">
        <v>41518</v>
      </c>
      <c r="K60" s="67">
        <v>41548</v>
      </c>
      <c r="L60" s="67">
        <v>41579</v>
      </c>
      <c r="M60" s="67">
        <v>41609</v>
      </c>
      <c r="N60" s="65"/>
    </row>
    <row r="61" spans="1:14">
      <c r="A61" s="16" t="s">
        <v>1</v>
      </c>
      <c r="B61" s="46">
        <v>107633.84900000002</v>
      </c>
      <c r="C61" s="46">
        <v>110111.39199999993</v>
      </c>
      <c r="D61" s="46">
        <v>98139.165000000008</v>
      </c>
      <c r="E61" s="46">
        <v>116050.42449999996</v>
      </c>
      <c r="F61" s="46">
        <v>126389.89249999999</v>
      </c>
      <c r="G61" s="46">
        <v>127862.05749999995</v>
      </c>
      <c r="H61" s="46">
        <v>175895.59949999995</v>
      </c>
      <c r="I61" s="46">
        <v>106410.27499999998</v>
      </c>
      <c r="J61" s="46">
        <v>171337</v>
      </c>
      <c r="K61" s="46">
        <v>188731.38349999994</v>
      </c>
      <c r="L61" s="46">
        <v>202948</v>
      </c>
      <c r="M61" s="46">
        <v>137496</v>
      </c>
      <c r="N61" s="66"/>
    </row>
    <row r="62" spans="1:14">
      <c r="A62" s="16" t="s">
        <v>17</v>
      </c>
      <c r="B62" s="46">
        <v>25881.350000000013</v>
      </c>
      <c r="C62" s="46">
        <v>37068.089000000036</v>
      </c>
      <c r="D62" s="46">
        <v>39924.256000000001</v>
      </c>
      <c r="E62" s="46">
        <v>65761.807999999946</v>
      </c>
      <c r="F62" s="46">
        <v>42533.434000000016</v>
      </c>
      <c r="G62" s="46">
        <v>35865.902999999998</v>
      </c>
      <c r="H62" s="46">
        <v>60281.427999999956</v>
      </c>
      <c r="I62" s="46">
        <v>55040.351999999999</v>
      </c>
      <c r="J62" s="46">
        <v>43768</v>
      </c>
      <c r="K62" s="46">
        <v>87364.975999999937</v>
      </c>
      <c r="L62" s="46">
        <v>46355</v>
      </c>
      <c r="M62" s="46">
        <v>47003</v>
      </c>
      <c r="N62" s="66"/>
    </row>
    <row r="63" spans="1:14">
      <c r="C63" s="41"/>
    </row>
    <row r="81" spans="1:14">
      <c r="A81" s="148" t="s">
        <v>49</v>
      </c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>
      <c r="A82" s="150" t="s">
        <v>25</v>
      </c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s="96" customFormat="1">
      <c r="A83" s="93"/>
      <c r="B83" s="93" t="s">
        <v>2</v>
      </c>
      <c r="C83" s="93" t="s">
        <v>4</v>
      </c>
      <c r="D83" s="93" t="s">
        <v>3</v>
      </c>
      <c r="E83" s="93" t="s">
        <v>5</v>
      </c>
      <c r="F83" s="93" t="s">
        <v>6</v>
      </c>
      <c r="G83" s="93" t="s">
        <v>7</v>
      </c>
      <c r="H83" s="93" t="s">
        <v>8</v>
      </c>
      <c r="I83" s="93" t="s">
        <v>9</v>
      </c>
      <c r="J83" s="93" t="s">
        <v>10</v>
      </c>
      <c r="K83" s="93" t="s">
        <v>11</v>
      </c>
      <c r="L83" s="93" t="s">
        <v>12</v>
      </c>
      <c r="M83" s="93" t="s">
        <v>13</v>
      </c>
      <c r="N83" s="94" t="s">
        <v>36</v>
      </c>
    </row>
    <row r="84" spans="1:14">
      <c r="A84" s="75" t="s">
        <v>52</v>
      </c>
      <c r="B84" s="15">
        <f>B85+B86</f>
        <v>1007503.3739999998</v>
      </c>
      <c r="C84" s="15">
        <f t="shared" ref="C84:L84" si="4">C85+C86</f>
        <v>810664.24699999997</v>
      </c>
      <c r="D84" s="15">
        <f t="shared" si="4"/>
        <v>1153420.8540000001</v>
      </c>
      <c r="E84" s="15">
        <f t="shared" si="4"/>
        <v>1396176.122</v>
      </c>
      <c r="F84" s="15">
        <f t="shared" si="4"/>
        <v>1549183.4610000001</v>
      </c>
      <c r="G84" s="15">
        <f t="shared" si="4"/>
        <v>1337334.5010000002</v>
      </c>
      <c r="H84" s="15">
        <f t="shared" si="4"/>
        <v>1727865.0320000001</v>
      </c>
      <c r="I84" s="15">
        <f t="shared" si="4"/>
        <v>1441729.368</v>
      </c>
      <c r="J84" s="15">
        <f t="shared" si="4"/>
        <v>1616977.923</v>
      </c>
      <c r="K84" s="15">
        <f t="shared" si="4"/>
        <v>1394473.3280000002</v>
      </c>
      <c r="L84" s="15">
        <f t="shared" si="4"/>
        <v>1329695</v>
      </c>
      <c r="M84" s="15">
        <f>M85+M86</f>
        <v>999200</v>
      </c>
      <c r="N84" s="15">
        <f>N85+N86</f>
        <v>15764223.210000001</v>
      </c>
    </row>
    <row r="85" spans="1:14">
      <c r="A85" s="21" t="s">
        <v>26</v>
      </c>
      <c r="B85" s="40">
        <v>417376.99</v>
      </c>
      <c r="C85" s="40">
        <v>271124.41100000002</v>
      </c>
      <c r="D85" s="40">
        <v>560632.78700000001</v>
      </c>
      <c r="E85" s="40">
        <v>309817.10099999997</v>
      </c>
      <c r="F85" s="40">
        <v>572150.24600000004</v>
      </c>
      <c r="G85" s="40">
        <v>476819.35000000021</v>
      </c>
      <c r="H85" s="40">
        <v>474987.14599999983</v>
      </c>
      <c r="I85" s="40">
        <v>550454.46299999999</v>
      </c>
      <c r="J85" s="40">
        <v>549198.07599999977</v>
      </c>
      <c r="K85" s="40">
        <v>715097.43600000022</v>
      </c>
      <c r="L85" s="92">
        <v>565120</v>
      </c>
      <c r="M85" s="92">
        <v>407704</v>
      </c>
      <c r="N85" s="15">
        <f>SUM(B85:M85)</f>
        <v>5870482.0060000001</v>
      </c>
    </row>
    <row r="86" spans="1:14">
      <c r="A86" s="23" t="s">
        <v>27</v>
      </c>
      <c r="B86" s="40">
        <v>590126.38399999985</v>
      </c>
      <c r="C86" s="40">
        <v>539539.83599999989</v>
      </c>
      <c r="D86" s="40">
        <v>592788.06700000004</v>
      </c>
      <c r="E86" s="40">
        <v>1086359.0209999999</v>
      </c>
      <c r="F86" s="40">
        <v>977033.21500000008</v>
      </c>
      <c r="G86" s="40">
        <v>860515.15099999984</v>
      </c>
      <c r="H86" s="40">
        <v>1252877.8860000002</v>
      </c>
      <c r="I86" s="40">
        <v>891274.90500000003</v>
      </c>
      <c r="J86" s="40">
        <v>1067779.8470000001</v>
      </c>
      <c r="K86" s="40">
        <v>679375.89199999988</v>
      </c>
      <c r="L86" s="92">
        <v>764575</v>
      </c>
      <c r="M86" s="92">
        <v>591496</v>
      </c>
      <c r="N86" s="15">
        <f>SUM(B86:M86)</f>
        <v>9893741.2039999999</v>
      </c>
    </row>
    <row r="105" spans="1:15">
      <c r="A105" s="155" t="s">
        <v>50</v>
      </c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</row>
    <row r="106" spans="1:15">
      <c r="A106" s="154" t="s">
        <v>25</v>
      </c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</row>
    <row r="107" spans="1:15" s="96" customFormat="1">
      <c r="A107" s="93"/>
      <c r="B107" s="93" t="s">
        <v>2</v>
      </c>
      <c r="C107" s="93" t="s">
        <v>4</v>
      </c>
      <c r="D107" s="93" t="s">
        <v>3</v>
      </c>
      <c r="E107" s="93" t="s">
        <v>5</v>
      </c>
      <c r="F107" s="93" t="s">
        <v>6</v>
      </c>
      <c r="G107" s="93" t="s">
        <v>7</v>
      </c>
      <c r="H107" s="93" t="s">
        <v>8</v>
      </c>
      <c r="I107" s="93" t="s">
        <v>9</v>
      </c>
      <c r="J107" s="93" t="s">
        <v>10</v>
      </c>
      <c r="K107" s="93" t="s">
        <v>11</v>
      </c>
      <c r="L107" s="93" t="s">
        <v>12</v>
      </c>
      <c r="M107" s="93" t="s">
        <v>13</v>
      </c>
      <c r="N107" s="94" t="s">
        <v>36</v>
      </c>
    </row>
    <row r="108" spans="1:15">
      <c r="A108" s="19" t="s">
        <v>28</v>
      </c>
      <c r="B108" s="24">
        <v>38409966.855999999</v>
      </c>
      <c r="C108" s="81">
        <v>33948123</v>
      </c>
      <c r="D108" s="81">
        <f>37996993473/1000</f>
        <v>37996993.472999997</v>
      </c>
      <c r="E108" s="81">
        <v>41398278.302000001</v>
      </c>
      <c r="F108" s="46">
        <v>46292218.579999998</v>
      </c>
      <c r="G108" s="55">
        <v>42827928.314000003</v>
      </c>
      <c r="H108" s="24">
        <f>46727389098/1000</f>
        <v>46727389.097999997</v>
      </c>
      <c r="I108" s="55">
        <f>51579019616/1000</f>
        <v>51579019.615999997</v>
      </c>
      <c r="J108" s="24">
        <f>48579468478/1000</f>
        <v>48579468.478</v>
      </c>
      <c r="K108" s="81">
        <f>50239226458/1000</f>
        <v>50239226.457999997</v>
      </c>
      <c r="L108" s="81">
        <f>47696329919/1000</f>
        <v>47696329.919</v>
      </c>
      <c r="M108" s="99">
        <f>47846860294/1000</f>
        <v>47846860.294</v>
      </c>
      <c r="N108" s="100">
        <f>SUM(B108:M108)</f>
        <v>533541802.38800001</v>
      </c>
      <c r="O108" s="82"/>
    </row>
    <row r="109" spans="1:15">
      <c r="A109" s="18" t="s">
        <v>29</v>
      </c>
      <c r="B109" s="40">
        <v>590126.38399999985</v>
      </c>
      <c r="C109" s="40">
        <v>539539.83599999989</v>
      </c>
      <c r="D109" s="40">
        <v>592788.06700000004</v>
      </c>
      <c r="E109" s="40">
        <v>1086359.0209999999</v>
      </c>
      <c r="F109" s="40">
        <v>977033.21500000008</v>
      </c>
      <c r="G109" s="40">
        <v>860515.15099999984</v>
      </c>
      <c r="H109" s="40">
        <v>1252877.8860000002</v>
      </c>
      <c r="I109" s="40">
        <v>891274.90500000003</v>
      </c>
      <c r="J109" s="40">
        <v>1067779.8470000001</v>
      </c>
      <c r="K109" s="40">
        <v>679375.89199999988</v>
      </c>
      <c r="L109" s="40">
        <v>764575</v>
      </c>
      <c r="M109" s="40">
        <v>591496</v>
      </c>
      <c r="N109" s="15">
        <f>SUM(B109:M109)</f>
        <v>9893741.2039999999</v>
      </c>
    </row>
    <row r="110" spans="1:15" s="9" customFormat="1">
      <c r="A110" s="115" t="s">
        <v>39</v>
      </c>
      <c r="B110" s="51">
        <f t="shared" ref="B110:N110" si="5">B109/B108</f>
        <v>1.5363886832092295E-2</v>
      </c>
      <c r="C110" s="51">
        <f t="shared" si="5"/>
        <v>1.5893068255938624E-2</v>
      </c>
      <c r="D110" s="51">
        <f t="shared" si="5"/>
        <v>1.5600920304950572E-2</v>
      </c>
      <c r="E110" s="51">
        <f t="shared" si="5"/>
        <v>2.6241647371782528E-2</v>
      </c>
      <c r="F110" s="51">
        <f t="shared" si="5"/>
        <v>2.1105776412757966E-2</v>
      </c>
      <c r="G110" s="51">
        <f t="shared" si="5"/>
        <v>2.0092383285294387E-2</v>
      </c>
      <c r="H110" s="51">
        <f t="shared" si="5"/>
        <v>2.6812494988161562E-2</v>
      </c>
      <c r="I110" s="51">
        <f t="shared" si="5"/>
        <v>1.7279795382607918E-2</v>
      </c>
      <c r="J110" s="51">
        <f t="shared" si="5"/>
        <v>2.1980064427497011E-2</v>
      </c>
      <c r="K110" s="51">
        <f t="shared" si="5"/>
        <v>1.35228175252252E-2</v>
      </c>
      <c r="L110" s="51">
        <f t="shared" si="5"/>
        <v>1.6030059363025095E-2</v>
      </c>
      <c r="M110" s="51">
        <f t="shared" si="5"/>
        <v>1.2362274062822334E-2</v>
      </c>
      <c r="N110" s="51">
        <f t="shared" si="5"/>
        <v>1.8543516477468273E-2</v>
      </c>
      <c r="O110" s="123"/>
    </row>
    <row r="127" spans="1:14">
      <c r="A127" s="155" t="s">
        <v>51</v>
      </c>
      <c r="B127" s="155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</row>
    <row r="128" spans="1:14">
      <c r="A128" s="154" t="s">
        <v>25</v>
      </c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</row>
    <row r="129" spans="1:15" s="96" customFormat="1">
      <c r="A129" s="93"/>
      <c r="B129" s="93" t="s">
        <v>2</v>
      </c>
      <c r="C129" s="93" t="s">
        <v>4</v>
      </c>
      <c r="D129" s="93" t="s">
        <v>3</v>
      </c>
      <c r="E129" s="93" t="s">
        <v>5</v>
      </c>
      <c r="F129" s="93" t="s">
        <v>6</v>
      </c>
      <c r="G129" s="93" t="s">
        <v>7</v>
      </c>
      <c r="H129" s="93" t="s">
        <v>8</v>
      </c>
      <c r="I129" s="93" t="s">
        <v>9</v>
      </c>
      <c r="J129" s="93" t="s">
        <v>10</v>
      </c>
      <c r="K129" s="93" t="s">
        <v>11</v>
      </c>
      <c r="L129" s="93" t="s">
        <v>12</v>
      </c>
      <c r="M129" s="93" t="s">
        <v>13</v>
      </c>
      <c r="N129" s="94" t="s">
        <v>36</v>
      </c>
    </row>
    <row r="130" spans="1:15">
      <c r="A130" s="19" t="s">
        <v>28</v>
      </c>
      <c r="B130" s="40">
        <v>11352527.789999999</v>
      </c>
      <c r="C130" s="40">
        <v>10118917.937999999</v>
      </c>
      <c r="D130" s="55">
        <f>11505078968/1000</f>
        <v>11505078.968</v>
      </c>
      <c r="E130" s="81">
        <v>12998980.470000001</v>
      </c>
      <c r="F130" s="81">
        <v>12961593.352</v>
      </c>
      <c r="G130" s="81">
        <v>10257323.202</v>
      </c>
      <c r="H130" s="40">
        <f>14590420559/1000</f>
        <v>14590420.559</v>
      </c>
      <c r="I130" s="55">
        <f>12123202419/1000</f>
        <v>12123202.419</v>
      </c>
      <c r="J130" s="40">
        <f>10833150634/1000</f>
        <v>10833150.634</v>
      </c>
      <c r="K130" s="40">
        <f>14193037977/1000</f>
        <v>14193037.977</v>
      </c>
      <c r="L130" s="55">
        <f>11509961599/1000</f>
        <v>11509961.598999999</v>
      </c>
      <c r="M130" s="40">
        <f>11165389391/1000</f>
        <v>11165389.391000001</v>
      </c>
      <c r="N130" s="15">
        <f>SUM(B130:M130)</f>
        <v>143609584.29899999</v>
      </c>
    </row>
    <row r="131" spans="1:15" ht="15" customHeight="1">
      <c r="A131" s="18" t="s">
        <v>29</v>
      </c>
      <c r="B131" s="40">
        <v>417376.99</v>
      </c>
      <c r="C131" s="40">
        <v>271124.41100000002</v>
      </c>
      <c r="D131" s="40">
        <v>560632.78700000001</v>
      </c>
      <c r="E131" s="40">
        <v>309817.10099999997</v>
      </c>
      <c r="F131" s="40">
        <v>572150.24600000004</v>
      </c>
      <c r="G131" s="40">
        <v>476819.35000000021</v>
      </c>
      <c r="H131" s="40">
        <v>474987.14599999983</v>
      </c>
      <c r="I131" s="40">
        <v>550454.46299999999</v>
      </c>
      <c r="J131" s="40">
        <v>549198.07599999977</v>
      </c>
      <c r="K131" s="40">
        <v>715097.43600000022</v>
      </c>
      <c r="L131" s="40">
        <v>565120</v>
      </c>
      <c r="M131" s="40">
        <v>407704</v>
      </c>
      <c r="N131" s="15">
        <f>SUM(B131:M131)</f>
        <v>5870482.0060000001</v>
      </c>
    </row>
    <row r="132" spans="1:15" s="9" customFormat="1">
      <c r="A132" s="115" t="s">
        <v>39</v>
      </c>
      <c r="B132" s="51">
        <f t="shared" ref="B132:M132" si="6">B131/B130</f>
        <v>3.6765115022898351E-2</v>
      </c>
      <c r="C132" s="51">
        <f t="shared" si="6"/>
        <v>2.679381458187689E-2</v>
      </c>
      <c r="D132" s="51">
        <f t="shared" si="6"/>
        <v>4.8729155928380237E-2</v>
      </c>
      <c r="E132" s="51">
        <f t="shared" si="6"/>
        <v>2.383395387930758E-2</v>
      </c>
      <c r="F132" s="51">
        <f t="shared" si="6"/>
        <v>4.4141968542140392E-2</v>
      </c>
      <c r="G132" s="51">
        <f t="shared" si="6"/>
        <v>4.6485748826460761E-2</v>
      </c>
      <c r="H132" s="51">
        <f t="shared" si="6"/>
        <v>3.2554726169768101E-2</v>
      </c>
      <c r="I132" s="51">
        <f t="shared" si="6"/>
        <v>4.5405037709945709E-2</v>
      </c>
      <c r="J132" s="51">
        <f t="shared" si="6"/>
        <v>5.0696061981851677E-2</v>
      </c>
      <c r="K132" s="51">
        <f t="shared" si="6"/>
        <v>5.0383676641944083E-2</v>
      </c>
      <c r="L132" s="51">
        <f t="shared" si="6"/>
        <v>4.9098339307152718E-2</v>
      </c>
      <c r="M132" s="51">
        <f t="shared" si="6"/>
        <v>3.6514982659595803E-2</v>
      </c>
      <c r="N132" s="51">
        <f>N131/N130</f>
        <v>4.0878065587721911E-2</v>
      </c>
      <c r="O132" s="123"/>
    </row>
    <row r="150" spans="1:15">
      <c r="A150" t="s">
        <v>21</v>
      </c>
    </row>
    <row r="152" spans="1:15">
      <c r="A152" s="152" t="s">
        <v>57</v>
      </c>
      <c r="B152" s="152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</row>
    <row r="153" spans="1:15">
      <c r="A153" s="153" t="s">
        <v>25</v>
      </c>
      <c r="B153" s="153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</row>
    <row r="154" spans="1:15">
      <c r="A154" s="85"/>
      <c r="B154" s="93" t="s">
        <v>2</v>
      </c>
      <c r="C154" s="93" t="s">
        <v>4</v>
      </c>
      <c r="D154" s="93" t="s">
        <v>3</v>
      </c>
      <c r="E154" s="93" t="s">
        <v>5</v>
      </c>
      <c r="F154" s="93" t="s">
        <v>6</v>
      </c>
      <c r="G154" s="93" t="s">
        <v>7</v>
      </c>
      <c r="H154" s="93" t="s">
        <v>8</v>
      </c>
      <c r="I154" s="93" t="s">
        <v>9</v>
      </c>
      <c r="J154" s="93" t="s">
        <v>10</v>
      </c>
      <c r="K154" s="93" t="s">
        <v>11</v>
      </c>
      <c r="L154" s="93" t="s">
        <v>12</v>
      </c>
      <c r="M154" s="93" t="s">
        <v>13</v>
      </c>
      <c r="N154" s="94" t="s">
        <v>36</v>
      </c>
    </row>
    <row r="155" spans="1:15">
      <c r="A155" s="19" t="s">
        <v>28</v>
      </c>
      <c r="B155" s="102">
        <f>B108+B130</f>
        <v>49762494.645999998</v>
      </c>
      <c r="C155" s="102">
        <f t="shared" ref="C155:N155" si="7">C108+C130</f>
        <v>44067040.938000001</v>
      </c>
      <c r="D155" s="102">
        <f t="shared" si="7"/>
        <v>49502072.441</v>
      </c>
      <c r="E155" s="102">
        <f t="shared" si="7"/>
        <v>54397258.772</v>
      </c>
      <c r="F155" s="102">
        <f t="shared" si="7"/>
        <v>59253811.931999996</v>
      </c>
      <c r="G155" s="102">
        <f t="shared" si="7"/>
        <v>53085251.516000003</v>
      </c>
      <c r="H155" s="102">
        <f t="shared" si="7"/>
        <v>61317809.656999998</v>
      </c>
      <c r="I155" s="102">
        <f t="shared" si="7"/>
        <v>63702222.034999996</v>
      </c>
      <c r="J155" s="102">
        <f t="shared" si="7"/>
        <v>59412619.112000003</v>
      </c>
      <c r="K155" s="102">
        <f t="shared" si="7"/>
        <v>64432264.434999995</v>
      </c>
      <c r="L155" s="102">
        <f t="shared" si="7"/>
        <v>59206291.517999999</v>
      </c>
      <c r="M155" s="102">
        <f>M108+M130</f>
        <v>59012249.685000002</v>
      </c>
      <c r="N155" s="105">
        <f t="shared" si="7"/>
        <v>677151386.68700004</v>
      </c>
    </row>
    <row r="156" spans="1:15" s="125" customFormat="1">
      <c r="A156" s="124" t="s">
        <v>29</v>
      </c>
      <c r="B156" s="117">
        <v>1007503.3739999998</v>
      </c>
      <c r="C156" s="117">
        <v>810664.24699999997</v>
      </c>
      <c r="D156" s="117">
        <v>1153420.8540000001</v>
      </c>
      <c r="E156" s="117">
        <v>1396176.122</v>
      </c>
      <c r="F156" s="117">
        <v>1549183.4610000001</v>
      </c>
      <c r="G156" s="117">
        <v>1337334.5010000002</v>
      </c>
      <c r="H156" s="117">
        <v>1727865.0320000001</v>
      </c>
      <c r="I156" s="117">
        <v>1441729.368</v>
      </c>
      <c r="J156" s="117">
        <v>1616977.923</v>
      </c>
      <c r="K156" s="117">
        <v>1394473.3280000002</v>
      </c>
      <c r="L156" s="117">
        <v>1329695</v>
      </c>
      <c r="M156" s="117">
        <v>999200</v>
      </c>
      <c r="N156" s="117">
        <v>15764223.210000001</v>
      </c>
    </row>
    <row r="157" spans="1:15" s="9" customFormat="1">
      <c r="A157" s="115" t="s">
        <v>39</v>
      </c>
      <c r="B157" s="119">
        <f>B156/B155</f>
        <v>2.0246239284569003E-2</v>
      </c>
      <c r="C157" s="119">
        <f t="shared" ref="C157:N157" si="8">C156/C155</f>
        <v>1.8396157984389327E-2</v>
      </c>
      <c r="D157" s="119">
        <f t="shared" si="8"/>
        <v>2.3300455862221264E-2</v>
      </c>
      <c r="E157" s="119">
        <f t="shared" si="8"/>
        <v>2.5666295572942661E-2</v>
      </c>
      <c r="F157" s="119">
        <f t="shared" si="8"/>
        <v>2.6144874236578259E-2</v>
      </c>
      <c r="G157" s="119">
        <f t="shared" si="8"/>
        <v>2.5192204290431303E-2</v>
      </c>
      <c r="H157" s="119">
        <f t="shared" si="8"/>
        <v>2.8178844640168066E-2</v>
      </c>
      <c r="I157" s="119">
        <f t="shared" si="8"/>
        <v>2.2632324618250658E-2</v>
      </c>
      <c r="J157" s="119">
        <f t="shared" si="8"/>
        <v>2.721606869328215E-2</v>
      </c>
      <c r="K157" s="119">
        <f t="shared" si="8"/>
        <v>2.1642469657523224E-2</v>
      </c>
      <c r="L157" s="119">
        <f t="shared" si="8"/>
        <v>2.245867737883471E-2</v>
      </c>
      <c r="M157" s="119">
        <f t="shared" si="8"/>
        <v>1.6932077752222708E-2</v>
      </c>
      <c r="N157" s="119">
        <f t="shared" si="8"/>
        <v>2.3280205165239813E-2</v>
      </c>
    </row>
    <row r="158" spans="1:15" ht="15" customHeight="1">
      <c r="A158" s="68"/>
      <c r="B158" s="70"/>
      <c r="C158" s="70"/>
      <c r="D158" s="70"/>
      <c r="E158" s="70"/>
      <c r="F158" s="70"/>
      <c r="G158" s="70"/>
      <c r="H158" s="70"/>
      <c r="I158" s="70"/>
      <c r="J158" s="86"/>
      <c r="K158" s="88"/>
      <c r="L158" s="70"/>
      <c r="M158" s="70"/>
      <c r="N158" s="72"/>
    </row>
    <row r="159" spans="1:15">
      <c r="A159" s="68"/>
      <c r="B159" s="73"/>
      <c r="C159" s="73"/>
      <c r="D159" s="73"/>
      <c r="E159" s="73"/>
      <c r="F159" s="73"/>
      <c r="G159" s="73"/>
      <c r="H159" s="73"/>
      <c r="I159" s="73"/>
      <c r="J159" s="89"/>
      <c r="K159" s="88"/>
      <c r="L159" s="73"/>
      <c r="M159" s="73"/>
      <c r="N159" s="74"/>
      <c r="O159" s="42"/>
    </row>
    <row r="160" spans="1:15">
      <c r="A160" t="s">
        <v>21</v>
      </c>
      <c r="K160" s="87"/>
    </row>
    <row r="161" spans="1:14">
      <c r="B161" s="48"/>
      <c r="C161" s="48"/>
      <c r="D161" s="48"/>
      <c r="E161" s="48"/>
    </row>
    <row r="162" spans="1:14">
      <c r="B162" s="55"/>
      <c r="C162" s="55"/>
      <c r="D162" s="55"/>
      <c r="E162" s="55"/>
    </row>
    <row r="163" spans="1:14">
      <c r="B163" s="55"/>
      <c r="C163" s="55"/>
      <c r="D163" s="55"/>
      <c r="E163" s="55"/>
    </row>
    <row r="164" spans="1:14">
      <c r="B164" s="55"/>
      <c r="C164" s="55"/>
      <c r="D164" s="55"/>
      <c r="E164" s="55"/>
    </row>
    <row r="165" spans="1:14">
      <c r="B165" s="55"/>
      <c r="C165" s="55"/>
      <c r="D165" s="55"/>
      <c r="E165" s="55"/>
    </row>
    <row r="166" spans="1:14">
      <c r="B166" s="55"/>
      <c r="C166" s="55"/>
      <c r="D166" s="55"/>
      <c r="E166" s="55"/>
    </row>
    <row r="167" spans="1:14">
      <c r="B167" s="55"/>
      <c r="C167" s="55"/>
      <c r="D167" s="55"/>
      <c r="E167" s="55"/>
    </row>
    <row r="168" spans="1:14">
      <c r="B168" s="55"/>
      <c r="C168" s="55"/>
      <c r="D168" s="55"/>
      <c r="E168" s="55"/>
    </row>
    <row r="169" spans="1:14">
      <c r="B169" s="55"/>
      <c r="C169" s="55"/>
      <c r="D169" s="55"/>
      <c r="E169" s="55"/>
    </row>
    <row r="170" spans="1:14">
      <c r="B170" s="55"/>
      <c r="C170" s="55"/>
      <c r="D170" s="55"/>
      <c r="E170" s="55"/>
    </row>
    <row r="171" spans="1:14">
      <c r="B171" s="55"/>
      <c r="C171" s="55"/>
      <c r="D171" s="55"/>
      <c r="E171" s="55"/>
    </row>
    <row r="176" spans="1:14">
      <c r="A176" s="161"/>
      <c r="B176" s="161"/>
      <c r="C176" s="161"/>
      <c r="D176" s="161"/>
      <c r="E176" s="161"/>
      <c r="F176" s="161"/>
      <c r="G176" s="161"/>
      <c r="H176" s="161"/>
      <c r="I176" s="161"/>
      <c r="J176" s="161"/>
      <c r="K176" s="161"/>
      <c r="L176" s="161"/>
      <c r="M176" s="161"/>
      <c r="N176" s="161"/>
    </row>
    <row r="177" spans="1:15">
      <c r="A177" s="161"/>
      <c r="B177" s="161"/>
      <c r="C177" s="161"/>
      <c r="D177" s="161"/>
      <c r="E177" s="161"/>
      <c r="F177" s="161"/>
      <c r="G177" s="161"/>
      <c r="H177" s="161"/>
      <c r="I177" s="161"/>
      <c r="J177" s="161"/>
      <c r="K177" s="161"/>
      <c r="L177" s="161"/>
      <c r="M177" s="161"/>
      <c r="N177" s="161"/>
    </row>
    <row r="178" spans="1:15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9"/>
    </row>
    <row r="179" spans="1:15">
      <c r="A179" s="68"/>
      <c r="B179" s="70"/>
      <c r="C179" s="70"/>
      <c r="D179" s="71"/>
      <c r="E179" s="71"/>
      <c r="F179" s="70"/>
      <c r="G179" s="70"/>
      <c r="H179" s="70"/>
      <c r="I179" s="70"/>
      <c r="J179" s="70"/>
      <c r="K179" s="70"/>
      <c r="L179" s="70"/>
      <c r="M179" s="70"/>
      <c r="N179" s="72"/>
    </row>
    <row r="180" spans="1:15" ht="15" customHeight="1">
      <c r="A180" s="68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2"/>
    </row>
    <row r="181" spans="1:15">
      <c r="A181" s="68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4"/>
      <c r="O181" s="42"/>
    </row>
    <row r="184" spans="1:15">
      <c r="B184" s="55"/>
      <c r="C184" s="55"/>
      <c r="D184" s="55"/>
      <c r="E184" s="55"/>
    </row>
    <row r="185" spans="1:15">
      <c r="A185" s="68"/>
      <c r="B185" s="70"/>
      <c r="C185" s="70"/>
      <c r="D185" s="70"/>
      <c r="E185" s="70"/>
    </row>
    <row r="186" spans="1:15">
      <c r="B186" s="55"/>
      <c r="C186" s="55"/>
      <c r="D186" s="55"/>
      <c r="E186" s="55"/>
    </row>
    <row r="187" spans="1:15">
      <c r="B187" s="55"/>
      <c r="C187" s="55"/>
      <c r="D187" s="55"/>
      <c r="E187" s="55"/>
    </row>
  </sheetData>
  <mergeCells count="21">
    <mergeCell ref="A81:N81"/>
    <mergeCell ref="A1:N1"/>
    <mergeCell ref="A2:N2"/>
    <mergeCell ref="A3:N3"/>
    <mergeCell ref="A4:N4"/>
    <mergeCell ref="A28:N28"/>
    <mergeCell ref="A29:N29"/>
    <mergeCell ref="A30:N30"/>
    <mergeCell ref="A31:N31"/>
    <mergeCell ref="A56:M56"/>
    <mergeCell ref="A57:M57"/>
    <mergeCell ref="A58:M58"/>
    <mergeCell ref="A176:N176"/>
    <mergeCell ref="A177:N177"/>
    <mergeCell ref="A82:N82"/>
    <mergeCell ref="A105:N105"/>
    <mergeCell ref="A106:N106"/>
    <mergeCell ref="A127:N127"/>
    <mergeCell ref="A128:N128"/>
    <mergeCell ref="A152:N152"/>
    <mergeCell ref="A153:N15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87"/>
  <sheetViews>
    <sheetView topLeftCell="A146" zoomScale="80" zoomScaleNormal="80" workbookViewId="0">
      <selection activeCell="A179" sqref="A179"/>
    </sheetView>
  </sheetViews>
  <sheetFormatPr defaultRowHeight="15"/>
  <cols>
    <col min="1" max="1" width="33.28515625" bestFit="1" customWidth="1"/>
    <col min="2" max="2" width="12.140625" bestFit="1" customWidth="1"/>
    <col min="3" max="5" width="12.140625" customWidth="1"/>
    <col min="6" max="9" width="12.140625" bestFit="1" customWidth="1"/>
    <col min="10" max="10" width="15.140625" bestFit="1" customWidth="1"/>
    <col min="11" max="11" width="12.140625" bestFit="1" customWidth="1"/>
    <col min="12" max="12" width="12.5703125" customWidth="1"/>
    <col min="13" max="13" width="16.28515625" bestFit="1" customWidth="1"/>
    <col min="14" max="14" width="13.28515625" bestFit="1" customWidth="1"/>
  </cols>
  <sheetData>
    <row r="1" spans="1:14">
      <c r="A1" s="156" t="s">
        <v>54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>
      <c r="A2" s="156" t="s">
        <v>46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>
      <c r="A3" s="148" t="s">
        <v>25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>
      <c r="A4" s="160">
        <v>2014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14">
      <c r="A5" s="1" t="s">
        <v>16</v>
      </c>
      <c r="B5" s="93" t="s">
        <v>2</v>
      </c>
      <c r="C5" s="93" t="s">
        <v>4</v>
      </c>
      <c r="D5" s="93" t="s">
        <v>3</v>
      </c>
      <c r="E5" s="93" t="s">
        <v>5</v>
      </c>
      <c r="F5" s="93" t="s">
        <v>6</v>
      </c>
      <c r="G5" s="93" t="s">
        <v>7</v>
      </c>
      <c r="H5" s="93" t="s">
        <v>8</v>
      </c>
      <c r="I5" s="93" t="s">
        <v>9</v>
      </c>
      <c r="J5" s="93" t="s">
        <v>10</v>
      </c>
      <c r="K5" s="93" t="s">
        <v>11</v>
      </c>
      <c r="L5" s="93" t="s">
        <v>12</v>
      </c>
      <c r="M5" s="93" t="s">
        <v>13</v>
      </c>
      <c r="N5" s="94" t="s">
        <v>36</v>
      </c>
    </row>
    <row r="6" spans="1:14">
      <c r="A6" s="16" t="s">
        <v>53</v>
      </c>
      <c r="B6" s="15">
        <f>B7+B8</f>
        <v>1235609</v>
      </c>
      <c r="C6" s="15">
        <f t="shared" ref="C6:M6" si="0">C7+C8</f>
        <v>1069099</v>
      </c>
      <c r="D6" s="15">
        <f t="shared" si="0"/>
        <v>1154723</v>
      </c>
      <c r="E6" s="15">
        <f>E7+E8</f>
        <v>1171117.4939999999</v>
      </c>
      <c r="F6" s="15">
        <f>F7+F8</f>
        <v>1967040.0010000002</v>
      </c>
      <c r="G6" s="15">
        <f t="shared" si="0"/>
        <v>1424327.3200000003</v>
      </c>
      <c r="H6" s="15">
        <f t="shared" si="0"/>
        <v>1837126.6779999998</v>
      </c>
      <c r="I6" s="15">
        <f t="shared" si="0"/>
        <v>1451537.95</v>
      </c>
      <c r="J6" s="15">
        <f t="shared" si="0"/>
        <v>1559679.6349999998</v>
      </c>
      <c r="K6" s="15">
        <f t="shared" si="0"/>
        <v>1571317.0089999998</v>
      </c>
      <c r="L6" s="15">
        <f t="shared" si="0"/>
        <v>1271741.7390000001</v>
      </c>
      <c r="M6" s="15">
        <f t="shared" si="0"/>
        <v>2194903.807</v>
      </c>
      <c r="N6" s="15">
        <f>SUM(B6:M6)</f>
        <v>17908222.633000001</v>
      </c>
    </row>
    <row r="7" spans="1:14">
      <c r="A7" s="1" t="s">
        <v>1</v>
      </c>
      <c r="B7" s="3">
        <v>867051</v>
      </c>
      <c r="C7" s="3">
        <v>818155</v>
      </c>
      <c r="D7" s="3">
        <v>920006</v>
      </c>
      <c r="E7" s="129">
        <v>916818.92299999995</v>
      </c>
      <c r="F7" s="120">
        <v>1646983.1720000003</v>
      </c>
      <c r="G7" s="3">
        <v>1188231.8790000002</v>
      </c>
      <c r="H7" s="3">
        <v>1549796.8629999999</v>
      </c>
      <c r="I7" s="3">
        <v>1155495.531</v>
      </c>
      <c r="J7" s="3">
        <v>1186473.7279999999</v>
      </c>
      <c r="K7" s="3">
        <v>1158247.7519999999</v>
      </c>
      <c r="L7" s="3">
        <v>990943.78700000013</v>
      </c>
      <c r="M7" s="92">
        <v>1926115.0729999999</v>
      </c>
      <c r="N7" s="15">
        <f>SUM(B7:M7)</f>
        <v>14324318.708000001</v>
      </c>
    </row>
    <row r="8" spans="1:14">
      <c r="A8" s="1" t="s">
        <v>17</v>
      </c>
      <c r="B8" s="3">
        <v>368558</v>
      </c>
      <c r="C8" s="3">
        <v>250944</v>
      </c>
      <c r="D8" s="3">
        <v>234717</v>
      </c>
      <c r="E8" s="130">
        <v>254298.57100000003</v>
      </c>
      <c r="F8" s="120">
        <v>320056.82899999997</v>
      </c>
      <c r="G8" s="3">
        <v>236095.44100000002</v>
      </c>
      <c r="H8" s="3">
        <v>287329.815</v>
      </c>
      <c r="I8" s="3">
        <v>296042.41899999999</v>
      </c>
      <c r="J8" s="3">
        <v>373205.90700000001</v>
      </c>
      <c r="K8" s="3">
        <v>413069.25700000004</v>
      </c>
      <c r="L8" s="3">
        <v>280797.95199999999</v>
      </c>
      <c r="M8" s="101">
        <v>268788.734</v>
      </c>
      <c r="N8" s="15">
        <f>SUM(B8:M8)</f>
        <v>3583903.9250000007</v>
      </c>
    </row>
    <row r="9" spans="1:14">
      <c r="A9" s="112" t="s">
        <v>68</v>
      </c>
      <c r="B9" s="31">
        <f t="shared" ref="B9:M9" si="1">B8/B6</f>
        <v>0.29828044308515073</v>
      </c>
      <c r="C9" s="31">
        <f t="shared" si="1"/>
        <v>0.23472475420891797</v>
      </c>
      <c r="D9" s="31">
        <f t="shared" si="1"/>
        <v>0.20326693068380902</v>
      </c>
      <c r="E9" s="31">
        <f>E8/E6</f>
        <v>0.21714180883032735</v>
      </c>
      <c r="F9" s="31">
        <f>F8/F6</f>
        <v>0.16270987312779103</v>
      </c>
      <c r="G9" s="31">
        <f t="shared" si="1"/>
        <v>0.16575925890405582</v>
      </c>
      <c r="H9" s="31">
        <f t="shared" si="1"/>
        <v>0.15640174324440353</v>
      </c>
      <c r="I9" s="31">
        <f t="shared" si="1"/>
        <v>0.20395086397844439</v>
      </c>
      <c r="J9" s="31">
        <f t="shared" si="1"/>
        <v>0.23928369559047302</v>
      </c>
      <c r="K9" s="31">
        <f t="shared" si="1"/>
        <v>0.26288091749409687</v>
      </c>
      <c r="L9" s="31">
        <f t="shared" si="1"/>
        <v>0.22079793671063899</v>
      </c>
      <c r="M9" s="31">
        <f t="shared" si="1"/>
        <v>0.12246037076557861</v>
      </c>
      <c r="N9" s="33">
        <f>N8/N6</f>
        <v>0.20012616541832784</v>
      </c>
    </row>
    <row r="10" spans="1:14">
      <c r="B10" s="41"/>
      <c r="C10" s="41"/>
      <c r="D10" s="41"/>
      <c r="E10" s="41"/>
      <c r="F10" s="41"/>
      <c r="G10" s="41"/>
      <c r="H10" s="41"/>
      <c r="I10" s="41"/>
    </row>
    <row r="28" spans="1:14">
      <c r="A28" s="148" t="s">
        <v>54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</row>
    <row r="29" spans="1:14">
      <c r="A29" s="148" t="s">
        <v>15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</row>
    <row r="30" spans="1:14">
      <c r="A30" s="148" t="s">
        <v>25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</row>
    <row r="31" spans="1:14">
      <c r="A31" s="159">
        <v>2014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</row>
    <row r="32" spans="1:14" s="96" customFormat="1">
      <c r="A32" s="93" t="s">
        <v>16</v>
      </c>
      <c r="B32" s="93" t="s">
        <v>2</v>
      </c>
      <c r="C32" s="93" t="s">
        <v>4</v>
      </c>
      <c r="D32" s="93" t="s">
        <v>3</v>
      </c>
      <c r="E32" s="93" t="s">
        <v>5</v>
      </c>
      <c r="F32" s="93" t="s">
        <v>6</v>
      </c>
      <c r="G32" s="93" t="s">
        <v>7</v>
      </c>
      <c r="H32" s="93" t="s">
        <v>8</v>
      </c>
      <c r="I32" s="93" t="s">
        <v>9</v>
      </c>
      <c r="J32" s="93" t="s">
        <v>10</v>
      </c>
      <c r="K32" s="93" t="s">
        <v>11</v>
      </c>
      <c r="L32" s="93" t="s">
        <v>12</v>
      </c>
      <c r="M32" s="95" t="s">
        <v>13</v>
      </c>
      <c r="N32" s="94" t="s">
        <v>36</v>
      </c>
    </row>
    <row r="33" spans="1:14" s="9" customFormat="1">
      <c r="A33" s="16" t="s">
        <v>36</v>
      </c>
      <c r="B33" s="15">
        <f>B34:G34+B35:G35</f>
        <v>201933</v>
      </c>
      <c r="C33" s="15">
        <f t="shared" ref="C33:M33" si="2">C34+C35</f>
        <v>144260</v>
      </c>
      <c r="D33" s="15">
        <f t="shared" si="2"/>
        <v>261542</v>
      </c>
      <c r="E33" s="15">
        <f t="shared" si="2"/>
        <v>182507</v>
      </c>
      <c r="F33" s="15">
        <f t="shared" si="2"/>
        <v>177308.16650000002</v>
      </c>
      <c r="G33" s="15">
        <f t="shared" si="2"/>
        <v>184714.61949999991</v>
      </c>
      <c r="H33" s="15">
        <f t="shared" si="2"/>
        <v>177568.29299999992</v>
      </c>
      <c r="I33" s="15">
        <f t="shared" si="2"/>
        <v>228344.83999999997</v>
      </c>
      <c r="J33" s="15">
        <f t="shared" si="2"/>
        <v>209275.96250000005</v>
      </c>
      <c r="K33" s="15">
        <f t="shared" si="2"/>
        <v>262008.24649999978</v>
      </c>
      <c r="L33" s="15">
        <f t="shared" si="2"/>
        <v>203434.05349999992</v>
      </c>
      <c r="M33" s="97">
        <f t="shared" si="2"/>
        <v>177750.66079999993</v>
      </c>
      <c r="N33" s="15">
        <f>SUM(B33:M33)</f>
        <v>2410646.8422999992</v>
      </c>
    </row>
    <row r="34" spans="1:14">
      <c r="A34" s="1" t="s">
        <v>1</v>
      </c>
      <c r="B34" s="40">
        <v>158421</v>
      </c>
      <c r="C34" s="40">
        <v>101686</v>
      </c>
      <c r="D34" s="40">
        <v>213231</v>
      </c>
      <c r="E34" s="44">
        <v>127813</v>
      </c>
      <c r="F34" s="40">
        <v>132558.31150000001</v>
      </c>
      <c r="G34" s="40">
        <v>118177.84149999991</v>
      </c>
      <c r="H34" s="40">
        <v>126459.5069999999</v>
      </c>
      <c r="I34" s="40">
        <v>184179.66599999997</v>
      </c>
      <c r="J34" s="40">
        <v>130053.85650000002</v>
      </c>
      <c r="K34" s="40">
        <v>198425.46449999977</v>
      </c>
      <c r="L34" s="40">
        <v>147889.36449999994</v>
      </c>
      <c r="M34" s="92">
        <v>139962.47879999992</v>
      </c>
      <c r="N34" s="15">
        <f>SUM(B34:M34)</f>
        <v>1778857.4902999995</v>
      </c>
    </row>
    <row r="35" spans="1:14">
      <c r="A35" s="1" t="s">
        <v>17</v>
      </c>
      <c r="B35" s="40">
        <v>43512</v>
      </c>
      <c r="C35" s="40">
        <v>42574</v>
      </c>
      <c r="D35" s="40">
        <v>48311</v>
      </c>
      <c r="E35" s="40">
        <v>54694</v>
      </c>
      <c r="F35" s="40">
        <v>44749.855000000018</v>
      </c>
      <c r="G35" s="40">
        <v>66536.77800000002</v>
      </c>
      <c r="H35" s="40">
        <v>51108.786000000022</v>
      </c>
      <c r="I35" s="40">
        <v>44165.174000000014</v>
      </c>
      <c r="J35" s="40">
        <v>79222.106000000029</v>
      </c>
      <c r="K35" s="40">
        <v>63582.781999999992</v>
      </c>
      <c r="L35" s="126">
        <v>55544.688999999969</v>
      </c>
      <c r="M35" s="92">
        <v>37788.182000000008</v>
      </c>
      <c r="N35" s="15">
        <f>SUM(B35:M35)</f>
        <v>631789.35200000007</v>
      </c>
    </row>
    <row r="36" spans="1:14">
      <c r="A36" s="112" t="s">
        <v>68</v>
      </c>
      <c r="B36" s="31">
        <f t="shared" ref="B36:M36" si="3">B35/B33</f>
        <v>0.21547741082438235</v>
      </c>
      <c r="C36" s="31">
        <f t="shared" si="3"/>
        <v>0.2951199223624012</v>
      </c>
      <c r="D36" s="31">
        <f t="shared" si="3"/>
        <v>0.18471603031253106</v>
      </c>
      <c r="E36" s="31">
        <f t="shared" si="3"/>
        <v>0.29968165604606944</v>
      </c>
      <c r="F36" s="31">
        <f t="shared" si="3"/>
        <v>0.25238462437092546</v>
      </c>
      <c r="G36" s="31">
        <f t="shared" si="3"/>
        <v>0.3602139244858204</v>
      </c>
      <c r="H36" s="31">
        <f t="shared" si="3"/>
        <v>0.28782608165298995</v>
      </c>
      <c r="I36" s="31">
        <f t="shared" si="3"/>
        <v>0.19341437275306952</v>
      </c>
      <c r="J36" s="31">
        <f t="shared" si="3"/>
        <v>0.37855329897240353</v>
      </c>
      <c r="K36" s="31">
        <f t="shared" si="3"/>
        <v>0.24267473581218005</v>
      </c>
      <c r="L36" s="31">
        <f t="shared" si="3"/>
        <v>0.27303535491908187</v>
      </c>
      <c r="M36" s="31">
        <f t="shared" si="3"/>
        <v>0.21259095088551155</v>
      </c>
      <c r="N36" s="33">
        <f>N35/N33</f>
        <v>0.26208291522171268</v>
      </c>
    </row>
    <row r="37" spans="1:14">
      <c r="A37" s="27"/>
      <c r="B37" s="35"/>
      <c r="C37" s="35"/>
      <c r="D37" s="35"/>
      <c r="E37" s="43"/>
      <c r="F37" s="35"/>
      <c r="G37" s="35"/>
      <c r="H37" s="35"/>
      <c r="I37" s="35"/>
      <c r="J37" s="35"/>
      <c r="K37" s="35"/>
      <c r="L37" s="35"/>
      <c r="M37" s="35"/>
    </row>
    <row r="56" spans="1:14">
      <c r="A56" s="148" t="s">
        <v>33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</row>
    <row r="57" spans="1:14">
      <c r="A57" s="148" t="s">
        <v>34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</row>
    <row r="58" spans="1:14">
      <c r="A58" s="148" t="s">
        <v>35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</row>
    <row r="59" spans="1:14">
      <c r="A59" s="162">
        <v>2014</v>
      </c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</row>
    <row r="60" spans="1:14">
      <c r="A60" s="16" t="s">
        <v>16</v>
      </c>
      <c r="B60" s="67">
        <v>41609</v>
      </c>
      <c r="C60" s="67">
        <v>41640</v>
      </c>
      <c r="D60" s="67">
        <v>41671</v>
      </c>
      <c r="E60" s="67">
        <v>41699</v>
      </c>
      <c r="F60" s="67">
        <v>41730</v>
      </c>
      <c r="G60" s="67">
        <v>41760</v>
      </c>
      <c r="H60" s="67">
        <v>41791</v>
      </c>
      <c r="I60" s="67">
        <v>41821</v>
      </c>
      <c r="J60" s="67">
        <v>41852</v>
      </c>
      <c r="K60" s="67">
        <v>41883</v>
      </c>
      <c r="L60" s="67">
        <v>41913</v>
      </c>
      <c r="M60" s="67">
        <v>41944</v>
      </c>
      <c r="N60" s="67">
        <v>41974</v>
      </c>
    </row>
    <row r="61" spans="1:14">
      <c r="A61" s="16" t="s">
        <v>1</v>
      </c>
      <c r="B61" s="46">
        <v>158421</v>
      </c>
      <c r="C61" s="46">
        <v>158421</v>
      </c>
      <c r="D61" s="46">
        <v>101686</v>
      </c>
      <c r="E61" s="46">
        <v>213231</v>
      </c>
      <c r="F61" s="46">
        <v>127813</v>
      </c>
      <c r="G61" s="40">
        <v>132558.31150000001</v>
      </c>
      <c r="H61" s="40">
        <v>118177.84149999991</v>
      </c>
      <c r="I61" s="40">
        <v>126459.5069999999</v>
      </c>
      <c r="J61" s="40">
        <v>184179.66599999997</v>
      </c>
      <c r="K61" s="40">
        <v>130054</v>
      </c>
      <c r="L61" s="40">
        <v>198425.46449999977</v>
      </c>
      <c r="M61" s="40">
        <v>147889.36449999994</v>
      </c>
      <c r="N61" s="40">
        <v>143684.29252999992</v>
      </c>
    </row>
    <row r="62" spans="1:14">
      <c r="A62" s="16" t="s">
        <v>17</v>
      </c>
      <c r="B62" s="46">
        <v>43512</v>
      </c>
      <c r="C62" s="46">
        <v>43512</v>
      </c>
      <c r="D62" s="46">
        <v>42574</v>
      </c>
      <c r="E62" s="46">
        <v>48311</v>
      </c>
      <c r="F62" s="46">
        <v>54694</v>
      </c>
      <c r="G62" s="40">
        <v>44749.855000000018</v>
      </c>
      <c r="H62" s="40">
        <v>66536.77800000002</v>
      </c>
      <c r="I62" s="40">
        <v>51108.786000000022</v>
      </c>
      <c r="J62" s="40">
        <v>44165.174000000014</v>
      </c>
      <c r="K62" s="40">
        <v>79222</v>
      </c>
      <c r="L62" s="40">
        <v>63582.781999999992</v>
      </c>
      <c r="M62" s="127">
        <v>55544.688999999969</v>
      </c>
      <c r="N62" s="127">
        <v>45821.773000000001</v>
      </c>
    </row>
    <row r="63" spans="1:14">
      <c r="C63" s="41"/>
    </row>
    <row r="81" spans="1:14">
      <c r="A81" s="148" t="s">
        <v>61</v>
      </c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>
      <c r="A82" s="150" t="s">
        <v>25</v>
      </c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s="96" customFormat="1">
      <c r="A83" s="93"/>
      <c r="B83" s="93" t="s">
        <v>2</v>
      </c>
      <c r="C83" s="93" t="s">
        <v>4</v>
      </c>
      <c r="D83" s="93" t="s">
        <v>3</v>
      </c>
      <c r="E83" s="93" t="s">
        <v>5</v>
      </c>
      <c r="F83" s="93" t="s">
        <v>6</v>
      </c>
      <c r="G83" s="93" t="s">
        <v>7</v>
      </c>
      <c r="H83" s="93" t="s">
        <v>8</v>
      </c>
      <c r="I83" s="93" t="s">
        <v>9</v>
      </c>
      <c r="J83" s="93" t="s">
        <v>10</v>
      </c>
      <c r="K83" s="93" t="s">
        <v>11</v>
      </c>
      <c r="L83" s="93" t="s">
        <v>12</v>
      </c>
      <c r="M83" s="93" t="s">
        <v>13</v>
      </c>
      <c r="N83" s="94" t="s">
        <v>36</v>
      </c>
    </row>
    <row r="84" spans="1:14">
      <c r="A84" s="75" t="s">
        <v>52</v>
      </c>
      <c r="B84" s="15">
        <f>B85+B86</f>
        <v>1235608</v>
      </c>
      <c r="C84" s="15">
        <f t="shared" ref="C84:L84" si="4">C85+C86</f>
        <v>1069099</v>
      </c>
      <c r="D84" s="15">
        <f t="shared" si="4"/>
        <v>1154783</v>
      </c>
      <c r="E84" s="15">
        <f t="shared" si="4"/>
        <v>1171117</v>
      </c>
      <c r="F84" s="15">
        <f t="shared" si="4"/>
        <v>1967040.0009999999</v>
      </c>
      <c r="G84" s="15">
        <f t="shared" si="4"/>
        <v>1424327.32</v>
      </c>
      <c r="H84" s="15">
        <f t="shared" si="4"/>
        <v>1837126.6779999998</v>
      </c>
      <c r="I84" s="15">
        <f t="shared" si="4"/>
        <v>1451537.95</v>
      </c>
      <c r="J84" s="15">
        <f t="shared" si="4"/>
        <v>1559679.6349999998</v>
      </c>
      <c r="K84" s="15">
        <f t="shared" si="4"/>
        <v>1571317.0090000001</v>
      </c>
      <c r="L84" s="15">
        <f t="shared" si="4"/>
        <v>1271741.7390000001</v>
      </c>
      <c r="M84" s="15">
        <f>M85+M86</f>
        <v>2194903.807</v>
      </c>
      <c r="N84" s="15">
        <f>N85+N86</f>
        <v>17908281.138999999</v>
      </c>
    </row>
    <row r="85" spans="1:14">
      <c r="A85" s="21" t="s">
        <v>26</v>
      </c>
      <c r="B85" s="40">
        <v>516650</v>
      </c>
      <c r="C85" s="40">
        <v>371113</v>
      </c>
      <c r="D85" s="40">
        <v>552124</v>
      </c>
      <c r="E85" s="40">
        <v>308561</v>
      </c>
      <c r="F85" s="40">
        <v>830435.99800000014</v>
      </c>
      <c r="G85" s="40">
        <v>481614.94800000009</v>
      </c>
      <c r="H85" s="40">
        <v>761331.71799999999</v>
      </c>
      <c r="I85" s="40">
        <v>575538.50799999991</v>
      </c>
      <c r="J85" s="40">
        <v>384435.62800000003</v>
      </c>
      <c r="K85" s="40">
        <v>823094.60099999991</v>
      </c>
      <c r="L85" s="92">
        <v>613496.20700000005</v>
      </c>
      <c r="M85" s="92">
        <v>1308443.1929999997</v>
      </c>
      <c r="N85" s="15">
        <f>SUM(B85:M85)</f>
        <v>7526838.8010000009</v>
      </c>
    </row>
    <row r="86" spans="1:14">
      <c r="A86" s="23" t="s">
        <v>27</v>
      </c>
      <c r="B86" s="40">
        <v>718958</v>
      </c>
      <c r="C86" s="40">
        <v>697986</v>
      </c>
      <c r="D86" s="40">
        <v>602659</v>
      </c>
      <c r="E86" s="40">
        <v>862556</v>
      </c>
      <c r="F86" s="40">
        <v>1136604.0029999998</v>
      </c>
      <c r="G86" s="40">
        <v>942712.37199999997</v>
      </c>
      <c r="H86" s="40">
        <v>1075794.96</v>
      </c>
      <c r="I86" s="40">
        <v>875999.44200000004</v>
      </c>
      <c r="J86" s="40">
        <v>1175244.0069999998</v>
      </c>
      <c r="K86" s="40">
        <v>748222.40800000005</v>
      </c>
      <c r="L86" s="92">
        <v>658245.53200000012</v>
      </c>
      <c r="M86" s="92">
        <v>886460.61400000006</v>
      </c>
      <c r="N86" s="15">
        <f>SUM(B86:M86)</f>
        <v>10381442.338</v>
      </c>
    </row>
    <row r="105" spans="1:15">
      <c r="A105" s="155" t="s">
        <v>62</v>
      </c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</row>
    <row r="106" spans="1:15">
      <c r="A106" s="154" t="s">
        <v>25</v>
      </c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</row>
    <row r="107" spans="1:15" s="96" customFormat="1">
      <c r="A107" s="93"/>
      <c r="B107" s="93" t="s">
        <v>2</v>
      </c>
      <c r="C107" s="93" t="s">
        <v>4</v>
      </c>
      <c r="D107" s="93" t="s">
        <v>3</v>
      </c>
      <c r="E107" s="93" t="s">
        <v>5</v>
      </c>
      <c r="F107" s="93" t="s">
        <v>6</v>
      </c>
      <c r="G107" s="93" t="s">
        <v>7</v>
      </c>
      <c r="H107" s="93" t="s">
        <v>8</v>
      </c>
      <c r="I107" s="93" t="s">
        <v>9</v>
      </c>
      <c r="J107" s="93" t="s">
        <v>10</v>
      </c>
      <c r="K107" s="93" t="s">
        <v>11</v>
      </c>
      <c r="L107" s="93" t="s">
        <v>12</v>
      </c>
      <c r="M107" s="93" t="s">
        <v>13</v>
      </c>
      <c r="N107" s="94" t="s">
        <v>36</v>
      </c>
    </row>
    <row r="108" spans="1:15">
      <c r="A108" s="19" t="s">
        <v>28</v>
      </c>
      <c r="B108" s="24">
        <f>38920861730/1000</f>
        <v>38920861.729999997</v>
      </c>
      <c r="C108" s="81">
        <f>36069643688/1000</f>
        <v>36069643.688000001</v>
      </c>
      <c r="D108" s="81">
        <f>40708273989/1000</f>
        <v>40708273.989</v>
      </c>
      <c r="E108" s="81">
        <f>43716687083/1000</f>
        <v>43716687.082999997</v>
      </c>
      <c r="F108" s="46">
        <f>48655637412/1000</f>
        <v>48655637.412</v>
      </c>
      <c r="G108" s="81">
        <f>47719016816/1000</f>
        <v>47719016.816</v>
      </c>
      <c r="H108" s="24">
        <f>51719515103/1000</f>
        <v>51719515.103</v>
      </c>
      <c r="I108" s="55">
        <f>46872255669/1000</f>
        <v>46872255.669</v>
      </c>
      <c r="J108" s="24">
        <f>51071866955/1000</f>
        <v>51071866.954999998</v>
      </c>
      <c r="K108" s="55">
        <f>48966030790/1000</f>
        <v>48966030.789999999</v>
      </c>
      <c r="L108" s="81">
        <f>40645632080/1000</f>
        <v>40645632.079999998</v>
      </c>
      <c r="M108" s="99">
        <f>54860962648/1000</f>
        <v>54860962.648000002</v>
      </c>
      <c r="N108" s="100">
        <f>SUM(B108:M108)</f>
        <v>549926383.96300006</v>
      </c>
      <c r="O108" s="82"/>
    </row>
    <row r="109" spans="1:15">
      <c r="A109" s="18" t="s">
        <v>29</v>
      </c>
      <c r="B109" s="40">
        <v>718958</v>
      </c>
      <c r="C109" s="40">
        <v>697986</v>
      </c>
      <c r="D109" s="40">
        <v>602659</v>
      </c>
      <c r="E109" s="40">
        <v>862556</v>
      </c>
      <c r="F109" s="40">
        <f>F86</f>
        <v>1136604.0029999998</v>
      </c>
      <c r="G109" s="40">
        <f>G86</f>
        <v>942712.37199999997</v>
      </c>
      <c r="H109" s="40">
        <f t="shared" ref="H109:M109" si="5">H86</f>
        <v>1075794.96</v>
      </c>
      <c r="I109" s="40">
        <f t="shared" si="5"/>
        <v>875999.44200000004</v>
      </c>
      <c r="J109" s="40">
        <f t="shared" si="5"/>
        <v>1175244.0069999998</v>
      </c>
      <c r="K109" s="40">
        <f t="shared" si="5"/>
        <v>748222.40800000005</v>
      </c>
      <c r="L109" s="40">
        <f t="shared" si="5"/>
        <v>658245.53200000012</v>
      </c>
      <c r="M109" s="40">
        <f t="shared" si="5"/>
        <v>886460.61400000006</v>
      </c>
      <c r="N109" s="15">
        <f>SUM(B109:M109)</f>
        <v>10381442.338</v>
      </c>
    </row>
    <row r="110" spans="1:15">
      <c r="A110" s="115" t="s">
        <v>39</v>
      </c>
      <c r="B110" s="25">
        <f t="shared" ref="B110:N110" si="6">B109/B108</f>
        <v>1.8472304261594262E-2</v>
      </c>
      <c r="C110" s="25">
        <f t="shared" si="6"/>
        <v>1.9351064458455206E-2</v>
      </c>
      <c r="D110" s="25">
        <f t="shared" si="6"/>
        <v>1.4804336832429882E-2</v>
      </c>
      <c r="E110" s="25">
        <f t="shared" si="6"/>
        <v>1.9730589336798582E-2</v>
      </c>
      <c r="F110" s="25">
        <f t="shared" si="6"/>
        <v>2.33601708549332E-2</v>
      </c>
      <c r="G110" s="25">
        <f t="shared" si="6"/>
        <v>1.9755486070364973E-2</v>
      </c>
      <c r="H110" s="25">
        <f t="shared" si="6"/>
        <v>2.0800561603440057E-2</v>
      </c>
      <c r="I110" s="25">
        <f t="shared" si="6"/>
        <v>1.8689082261926677E-2</v>
      </c>
      <c r="J110" s="25">
        <f t="shared" si="6"/>
        <v>2.3011573241203825E-2</v>
      </c>
      <c r="K110" s="25">
        <f t="shared" si="6"/>
        <v>1.5280438212541509E-2</v>
      </c>
      <c r="L110" s="25">
        <f t="shared" si="6"/>
        <v>1.6194742173142266E-2</v>
      </c>
      <c r="M110" s="25">
        <f t="shared" si="6"/>
        <v>1.615831314677663E-2</v>
      </c>
      <c r="N110" s="51">
        <f t="shared" si="6"/>
        <v>1.8877876459003427E-2</v>
      </c>
      <c r="O110" s="42"/>
    </row>
    <row r="127" spans="1:14">
      <c r="A127" s="155" t="s">
        <v>63</v>
      </c>
      <c r="B127" s="155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</row>
    <row r="128" spans="1:14">
      <c r="A128" s="154" t="s">
        <v>25</v>
      </c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</row>
    <row r="129" spans="1:15" s="96" customFormat="1">
      <c r="A129" s="93"/>
      <c r="B129" s="93" t="s">
        <v>2</v>
      </c>
      <c r="C129" s="93" t="s">
        <v>4</v>
      </c>
      <c r="D129" s="93" t="s">
        <v>3</v>
      </c>
      <c r="E129" s="93" t="s">
        <v>5</v>
      </c>
      <c r="F129" s="93" t="s">
        <v>6</v>
      </c>
      <c r="G129" s="93" t="s">
        <v>7</v>
      </c>
      <c r="H129" s="93" t="s">
        <v>8</v>
      </c>
      <c r="I129" s="93" t="s">
        <v>9</v>
      </c>
      <c r="J129" s="93" t="s">
        <v>10</v>
      </c>
      <c r="K129" s="93" t="s">
        <v>11</v>
      </c>
      <c r="L129" s="93" t="s">
        <v>12</v>
      </c>
      <c r="M129" s="93" t="s">
        <v>13</v>
      </c>
      <c r="N129" s="94" t="s">
        <v>36</v>
      </c>
    </row>
    <row r="130" spans="1:15">
      <c r="A130" s="19" t="s">
        <v>28</v>
      </c>
      <c r="B130" s="40">
        <v>12461546.016000001</v>
      </c>
      <c r="C130" s="40">
        <v>11236623.492000001</v>
      </c>
      <c r="D130" s="55">
        <v>9636559.8760000002</v>
      </c>
      <c r="E130" s="81">
        <v>12616189.381999999</v>
      </c>
      <c r="F130" s="81">
        <v>13811144.944</v>
      </c>
      <c r="G130" s="81">
        <v>11415285.751</v>
      </c>
      <c r="H130" s="40">
        <v>14421463.195</v>
      </c>
      <c r="I130" s="55">
        <v>12902204.237</v>
      </c>
      <c r="J130" s="40">
        <v>13546411.864</v>
      </c>
      <c r="K130" s="40">
        <v>12308801.568</v>
      </c>
      <c r="L130" s="55">
        <v>12565544.005999999</v>
      </c>
      <c r="M130" s="40">
        <v>12699171.271</v>
      </c>
      <c r="N130" s="15">
        <f>SUM(B130:M130)</f>
        <v>149620945.602</v>
      </c>
    </row>
    <row r="131" spans="1:15" ht="15" customHeight="1">
      <c r="A131" s="18" t="s">
        <v>29</v>
      </c>
      <c r="B131" s="40">
        <v>516650</v>
      </c>
      <c r="C131" s="40">
        <v>371113</v>
      </c>
      <c r="D131" s="40">
        <v>552124</v>
      </c>
      <c r="E131" s="40">
        <v>308561</v>
      </c>
      <c r="F131" s="40">
        <v>830435.99800000014</v>
      </c>
      <c r="G131" s="40">
        <v>481614.94800000009</v>
      </c>
      <c r="H131" s="40">
        <v>761331.71799999999</v>
      </c>
      <c r="I131" s="40">
        <v>575538.50799999991</v>
      </c>
      <c r="J131" s="40">
        <v>384435.62800000003</v>
      </c>
      <c r="K131" s="40">
        <v>823094.60099999991</v>
      </c>
      <c r="L131" s="40">
        <v>613496.20700000005</v>
      </c>
      <c r="M131" s="40">
        <v>1308443.1929999997</v>
      </c>
      <c r="N131" s="15">
        <f>SUM(B131:M131)</f>
        <v>7526838.8010000009</v>
      </c>
    </row>
    <row r="132" spans="1:15">
      <c r="A132" s="115" t="s">
        <v>39</v>
      </c>
      <c r="B132" s="25">
        <f t="shared" ref="B132:M132" si="7">B131/B130</f>
        <v>4.1459542767538417E-2</v>
      </c>
      <c r="C132" s="25">
        <f t="shared" si="7"/>
        <v>3.3027092192260132E-2</v>
      </c>
      <c r="D132" s="25">
        <f t="shared" si="7"/>
        <v>5.7294720014667608E-2</v>
      </c>
      <c r="E132" s="25">
        <f t="shared" si="7"/>
        <v>2.4457543451292495E-2</v>
      </c>
      <c r="F132" s="25">
        <f t="shared" si="7"/>
        <v>6.0127961973258988E-2</v>
      </c>
      <c r="G132" s="25">
        <f t="shared" si="7"/>
        <v>4.2190354101106033E-2</v>
      </c>
      <c r="H132" s="25">
        <f t="shared" si="7"/>
        <v>5.2791572374151177E-2</v>
      </c>
      <c r="I132" s="25">
        <f t="shared" si="7"/>
        <v>4.4607766039659533E-2</v>
      </c>
      <c r="J132" s="25">
        <f t="shared" si="7"/>
        <v>2.8379148062200099E-2</v>
      </c>
      <c r="K132" s="25">
        <f t="shared" si="7"/>
        <v>6.687040947510707E-2</v>
      </c>
      <c r="L132" s="25">
        <f t="shared" si="7"/>
        <v>4.8823688549183224E-2</v>
      </c>
      <c r="M132" s="25">
        <f t="shared" si="7"/>
        <v>0.10303374646091894</v>
      </c>
      <c r="N132" s="51">
        <f>N131/N130</f>
        <v>5.03060502038385E-2</v>
      </c>
      <c r="O132" s="42"/>
    </row>
    <row r="150" spans="1:15">
      <c r="A150" t="s">
        <v>21</v>
      </c>
    </row>
    <row r="152" spans="1:15">
      <c r="A152" s="152" t="s">
        <v>64</v>
      </c>
      <c r="B152" s="152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</row>
    <row r="153" spans="1:15">
      <c r="A153" s="153" t="s">
        <v>25</v>
      </c>
      <c r="B153" s="153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</row>
    <row r="154" spans="1:15">
      <c r="A154" s="103"/>
      <c r="B154" s="93" t="s">
        <v>2</v>
      </c>
      <c r="C154" s="93" t="s">
        <v>4</v>
      </c>
      <c r="D154" s="93" t="s">
        <v>3</v>
      </c>
      <c r="E154" s="93" t="s">
        <v>5</v>
      </c>
      <c r="F154" s="93" t="s">
        <v>6</v>
      </c>
      <c r="G154" s="93" t="s">
        <v>7</v>
      </c>
      <c r="H154" s="93" t="s">
        <v>8</v>
      </c>
      <c r="I154" s="93" t="s">
        <v>9</v>
      </c>
      <c r="J154" s="93" t="s">
        <v>10</v>
      </c>
      <c r="K154" s="93" t="s">
        <v>11</v>
      </c>
      <c r="L154" s="93" t="s">
        <v>12</v>
      </c>
      <c r="M154" s="93" t="s">
        <v>13</v>
      </c>
      <c r="N154" s="94" t="s">
        <v>36</v>
      </c>
    </row>
    <row r="155" spans="1:15">
      <c r="A155" s="19" t="s">
        <v>28</v>
      </c>
      <c r="B155" s="102">
        <f>B108+B130</f>
        <v>51382407.745999999</v>
      </c>
      <c r="C155" s="102">
        <f t="shared" ref="C155:N155" si="8">C108+C130</f>
        <v>47306267.18</v>
      </c>
      <c r="D155" s="102">
        <f t="shared" si="8"/>
        <v>50344833.865000002</v>
      </c>
      <c r="E155" s="102">
        <f t="shared" si="8"/>
        <v>56332876.464999996</v>
      </c>
      <c r="F155" s="102">
        <f t="shared" si="8"/>
        <v>62466782.355999999</v>
      </c>
      <c r="G155" s="102">
        <f t="shared" si="8"/>
        <v>59134302.567000002</v>
      </c>
      <c r="H155" s="102">
        <f t="shared" si="8"/>
        <v>66140978.298</v>
      </c>
      <c r="I155" s="102">
        <f t="shared" si="8"/>
        <v>59774459.906000003</v>
      </c>
      <c r="J155" s="102">
        <f t="shared" si="8"/>
        <v>64618278.818999998</v>
      </c>
      <c r="K155" s="102">
        <f t="shared" si="8"/>
        <v>61274832.357999995</v>
      </c>
      <c r="L155" s="102">
        <f t="shared" si="8"/>
        <v>53211176.085999995</v>
      </c>
      <c r="M155" s="102">
        <f>M108+M130</f>
        <v>67560133.919</v>
      </c>
      <c r="N155" s="105">
        <f t="shared" si="8"/>
        <v>699547329.56500006</v>
      </c>
    </row>
    <row r="156" spans="1:15">
      <c r="A156" s="18" t="s">
        <v>29</v>
      </c>
      <c r="B156" s="117">
        <f>B86+B85</f>
        <v>1235608</v>
      </c>
      <c r="C156" s="117">
        <f t="shared" ref="C156:M156" si="9">C86+C85</f>
        <v>1069099</v>
      </c>
      <c r="D156" s="117">
        <f t="shared" si="9"/>
        <v>1154783</v>
      </c>
      <c r="E156" s="117">
        <f t="shared" si="9"/>
        <v>1171117</v>
      </c>
      <c r="F156" s="117">
        <f t="shared" si="9"/>
        <v>1967040.0009999999</v>
      </c>
      <c r="G156" s="117">
        <f t="shared" si="9"/>
        <v>1424327.32</v>
      </c>
      <c r="H156" s="117">
        <f t="shared" si="9"/>
        <v>1837126.6779999998</v>
      </c>
      <c r="I156" s="117">
        <f t="shared" si="9"/>
        <v>1451537.95</v>
      </c>
      <c r="J156" s="117">
        <f t="shared" si="9"/>
        <v>1559679.6349999998</v>
      </c>
      <c r="K156" s="117">
        <f t="shared" si="9"/>
        <v>1571317.0090000001</v>
      </c>
      <c r="L156" s="117">
        <f t="shared" si="9"/>
        <v>1271741.7390000001</v>
      </c>
      <c r="M156" s="117">
        <f t="shared" si="9"/>
        <v>2194903.807</v>
      </c>
      <c r="N156" s="15">
        <f>SUM(B156:M156)</f>
        <v>17908281.138999999</v>
      </c>
    </row>
    <row r="157" spans="1:15">
      <c r="A157" s="115" t="s">
        <v>39</v>
      </c>
      <c r="B157" s="119">
        <f>B156/B155</f>
        <v>2.4047296617706462E-2</v>
      </c>
      <c r="C157" s="119">
        <f t="shared" ref="C157:N157" si="10">C156/C155</f>
        <v>2.2599521453089633E-2</v>
      </c>
      <c r="D157" s="119">
        <f t="shared" si="10"/>
        <v>2.2937467687281641E-2</v>
      </c>
      <c r="E157" s="119">
        <f t="shared" si="10"/>
        <v>2.0789227774080082E-2</v>
      </c>
      <c r="F157" s="119">
        <f t="shared" si="10"/>
        <v>3.1489376062141028E-2</v>
      </c>
      <c r="G157" s="119">
        <f t="shared" si="10"/>
        <v>2.4086312988746542E-2</v>
      </c>
      <c r="H157" s="119">
        <f t="shared" si="10"/>
        <v>2.7775922359702256E-2</v>
      </c>
      <c r="I157" s="119">
        <f t="shared" si="10"/>
        <v>2.4283581186390586E-2</v>
      </c>
      <c r="J157" s="119">
        <f t="shared" si="10"/>
        <v>2.4136817994932423E-2</v>
      </c>
      <c r="K157" s="119">
        <f t="shared" si="10"/>
        <v>2.5643758596017606E-2</v>
      </c>
      <c r="L157" s="119">
        <f t="shared" si="10"/>
        <v>2.3899899091585738E-2</v>
      </c>
      <c r="M157" s="119">
        <f t="shared" si="10"/>
        <v>3.2488150624916466E-2</v>
      </c>
      <c r="N157" s="104">
        <f t="shared" si="10"/>
        <v>2.5599813453845811E-2</v>
      </c>
    </row>
    <row r="158" spans="1:15" ht="15" customHeight="1">
      <c r="A158" s="68"/>
      <c r="B158" s="70"/>
      <c r="C158" s="70"/>
      <c r="D158" s="70"/>
      <c r="E158" s="70"/>
      <c r="F158" s="70"/>
      <c r="G158" s="70"/>
      <c r="H158" s="70"/>
      <c r="I158" s="70"/>
      <c r="J158" s="86"/>
      <c r="K158" s="88"/>
      <c r="L158" s="70"/>
      <c r="M158" s="70"/>
      <c r="N158" s="72"/>
    </row>
    <row r="159" spans="1:15">
      <c r="A159" s="68"/>
      <c r="B159" s="73"/>
      <c r="C159" s="73"/>
      <c r="D159" s="73"/>
      <c r="E159" s="73"/>
      <c r="F159" s="73"/>
      <c r="G159" s="73"/>
      <c r="H159" s="73"/>
      <c r="I159" s="73"/>
      <c r="J159" s="89"/>
      <c r="K159" s="88"/>
      <c r="L159" s="73"/>
      <c r="M159" s="73"/>
      <c r="N159" s="74"/>
      <c r="O159" s="42"/>
    </row>
    <row r="160" spans="1:15">
      <c r="K160" s="87"/>
    </row>
    <row r="161" spans="1:14">
      <c r="B161" s="48"/>
      <c r="C161" s="48"/>
      <c r="D161" s="48"/>
      <c r="E161" s="48"/>
    </row>
    <row r="162" spans="1:14">
      <c r="B162" s="55"/>
      <c r="C162" s="55"/>
      <c r="D162" s="55"/>
      <c r="E162" s="55"/>
    </row>
    <row r="163" spans="1:14">
      <c r="B163" s="55"/>
      <c r="C163" s="55"/>
      <c r="D163" s="55"/>
      <c r="E163" s="55"/>
    </row>
    <row r="164" spans="1:14">
      <c r="B164" s="55"/>
      <c r="C164" s="55"/>
      <c r="D164" s="55"/>
      <c r="E164" s="55"/>
    </row>
    <row r="165" spans="1:14">
      <c r="B165" s="55"/>
      <c r="C165" s="55"/>
      <c r="D165" s="55"/>
      <c r="E165" s="55"/>
    </row>
    <row r="166" spans="1:14">
      <c r="B166" s="55"/>
      <c r="C166" s="55"/>
      <c r="D166" s="55"/>
      <c r="E166" s="55"/>
    </row>
    <row r="167" spans="1:14">
      <c r="B167" s="55"/>
      <c r="C167" s="55"/>
      <c r="D167" s="55"/>
      <c r="E167" s="55"/>
    </row>
    <row r="168" spans="1:14">
      <c r="B168" s="55"/>
      <c r="C168" s="55"/>
      <c r="D168" s="55"/>
      <c r="E168" s="55"/>
    </row>
    <row r="169" spans="1:14">
      <c r="B169" s="55"/>
      <c r="C169" s="55"/>
      <c r="D169" s="55"/>
      <c r="E169" s="55"/>
    </row>
    <row r="170" spans="1:14">
      <c r="B170" s="55"/>
      <c r="C170" s="55"/>
      <c r="D170" s="55"/>
      <c r="E170" s="55"/>
    </row>
    <row r="171" spans="1:14">
      <c r="B171" s="55"/>
      <c r="C171" s="55"/>
      <c r="D171" s="55"/>
      <c r="E171" s="55"/>
    </row>
    <row r="176" spans="1:14">
      <c r="A176" s="161"/>
      <c r="B176" s="161"/>
      <c r="C176" s="161"/>
      <c r="D176" s="161"/>
      <c r="E176" s="161"/>
      <c r="F176" s="161"/>
      <c r="G176" s="161"/>
      <c r="H176" s="161"/>
      <c r="I176" s="161"/>
      <c r="J176" s="161"/>
      <c r="K176" s="161"/>
      <c r="L176" s="161"/>
      <c r="M176" s="161"/>
      <c r="N176" s="161"/>
    </row>
    <row r="177" spans="1:15">
      <c r="A177" s="161"/>
      <c r="B177" s="161"/>
      <c r="C177" s="161"/>
      <c r="D177" s="161"/>
      <c r="E177" s="161"/>
      <c r="F177" s="161"/>
      <c r="G177" s="161"/>
      <c r="H177" s="161"/>
      <c r="I177" s="161"/>
      <c r="J177" s="161"/>
      <c r="K177" s="161"/>
      <c r="L177" s="161"/>
      <c r="M177" s="161"/>
      <c r="N177" s="161"/>
    </row>
    <row r="178" spans="1:15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9"/>
    </row>
    <row r="179" spans="1:15">
      <c r="A179" t="s">
        <v>21</v>
      </c>
      <c r="B179" s="70"/>
      <c r="C179" s="70"/>
      <c r="D179" s="71"/>
      <c r="E179" s="71"/>
      <c r="F179" s="70"/>
      <c r="G179" s="70"/>
      <c r="H179" s="70"/>
      <c r="I179" s="70"/>
      <c r="J179" s="70"/>
      <c r="K179" s="70"/>
      <c r="L179" s="70"/>
      <c r="M179" s="70"/>
      <c r="N179" s="72"/>
    </row>
    <row r="180" spans="1:15" ht="15" customHeight="1">
      <c r="A180" s="68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2"/>
    </row>
    <row r="181" spans="1:15">
      <c r="A181" s="68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4"/>
      <c r="O181" s="42"/>
    </row>
    <row r="184" spans="1:15">
      <c r="B184" s="55"/>
      <c r="C184" s="55"/>
      <c r="D184" s="55"/>
      <c r="E184" s="55"/>
    </row>
    <row r="185" spans="1:15">
      <c r="A185" s="68"/>
      <c r="B185" s="70"/>
      <c r="C185" s="70"/>
      <c r="D185" s="70"/>
      <c r="E185" s="70"/>
    </row>
    <row r="186" spans="1:15">
      <c r="B186" s="55"/>
      <c r="C186" s="55"/>
      <c r="D186" s="55"/>
      <c r="E186" s="55"/>
    </row>
    <row r="187" spans="1:15">
      <c r="B187" s="55"/>
      <c r="C187" s="55"/>
      <c r="D187" s="55"/>
      <c r="E187" s="55"/>
    </row>
  </sheetData>
  <mergeCells count="22">
    <mergeCell ref="A59:N59"/>
    <mergeCell ref="A1:N1"/>
    <mergeCell ref="A2:N2"/>
    <mergeCell ref="A3:N3"/>
    <mergeCell ref="A4:N4"/>
    <mergeCell ref="A28:N28"/>
    <mergeCell ref="A29:N29"/>
    <mergeCell ref="A30:N30"/>
    <mergeCell ref="A31:N31"/>
    <mergeCell ref="A56:N56"/>
    <mergeCell ref="A57:N57"/>
    <mergeCell ref="A58:N58"/>
    <mergeCell ref="A152:N152"/>
    <mergeCell ref="A153:N153"/>
    <mergeCell ref="A176:N176"/>
    <mergeCell ref="A177:N177"/>
    <mergeCell ref="A81:N81"/>
    <mergeCell ref="A82:N82"/>
    <mergeCell ref="A105:N105"/>
    <mergeCell ref="A106:N106"/>
    <mergeCell ref="A127:N127"/>
    <mergeCell ref="A128:N12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87"/>
  <sheetViews>
    <sheetView workbookViewId="0">
      <selection activeCell="A180" sqref="A180"/>
    </sheetView>
  </sheetViews>
  <sheetFormatPr defaultRowHeight="15"/>
  <cols>
    <col min="1" max="1" width="33.28515625" bestFit="1" customWidth="1"/>
    <col min="2" max="2" width="12.140625" bestFit="1" customWidth="1"/>
    <col min="3" max="4" width="12.28515625" bestFit="1" customWidth="1"/>
    <col min="5" max="5" width="12.140625" customWidth="1"/>
    <col min="6" max="8" width="12.140625" bestFit="1" customWidth="1"/>
    <col min="9" max="10" width="15.140625" bestFit="1" customWidth="1"/>
    <col min="11" max="11" width="12.140625" bestFit="1" customWidth="1"/>
    <col min="12" max="12" width="12.5703125" customWidth="1"/>
    <col min="13" max="13" width="16.28515625" bestFit="1" customWidth="1"/>
    <col min="14" max="14" width="13.28515625" bestFit="1" customWidth="1"/>
    <col min="16" max="16" width="14.85546875" bestFit="1" customWidth="1"/>
    <col min="17" max="17" width="12" bestFit="1" customWidth="1"/>
    <col min="18" max="18" width="10.140625" bestFit="1" customWidth="1"/>
  </cols>
  <sheetData>
    <row r="1" spans="1:14">
      <c r="A1" s="156" t="s">
        <v>54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>
      <c r="A2" s="156" t="s">
        <v>46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>
      <c r="A3" s="148" t="s">
        <v>25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>
      <c r="A4" s="160">
        <v>2015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14">
      <c r="A5" s="1" t="s">
        <v>16</v>
      </c>
      <c r="B5" s="93" t="s">
        <v>2</v>
      </c>
      <c r="C5" s="93" t="s">
        <v>4</v>
      </c>
      <c r="D5" s="93" t="s">
        <v>3</v>
      </c>
      <c r="E5" s="93" t="s">
        <v>5</v>
      </c>
      <c r="F5" s="93" t="s">
        <v>6</v>
      </c>
      <c r="G5" s="93" t="s">
        <v>7</v>
      </c>
      <c r="H5" s="93" t="s">
        <v>8</v>
      </c>
      <c r="I5" s="93" t="s">
        <v>9</v>
      </c>
      <c r="J5" s="93" t="s">
        <v>10</v>
      </c>
      <c r="K5" s="93" t="s">
        <v>11</v>
      </c>
      <c r="L5" s="93" t="s">
        <v>12</v>
      </c>
      <c r="M5" s="93" t="s">
        <v>13</v>
      </c>
      <c r="N5" s="94" t="s">
        <v>36</v>
      </c>
    </row>
    <row r="6" spans="1:14">
      <c r="A6" s="16" t="s">
        <v>53</v>
      </c>
      <c r="B6" s="15">
        <f>B7+B8</f>
        <v>1530407.3830000004</v>
      </c>
      <c r="C6" s="15">
        <f t="shared" ref="C6:M6" si="0">C7+C8</f>
        <v>1449963.6320000004</v>
      </c>
      <c r="D6" s="15">
        <f t="shared" si="0"/>
        <v>1505861.2829999998</v>
      </c>
      <c r="E6" s="15">
        <f>E7+E8</f>
        <v>1666108.9569999999</v>
      </c>
      <c r="F6" s="15">
        <f>F7+F8</f>
        <v>1425830.8279999997</v>
      </c>
      <c r="G6" s="15">
        <f t="shared" si="0"/>
        <v>1632663.1849999998</v>
      </c>
      <c r="H6" s="15">
        <f t="shared" si="0"/>
        <v>2063981.4649999999</v>
      </c>
      <c r="I6" s="15">
        <f t="shared" si="0"/>
        <v>1393792.2039999999</v>
      </c>
      <c r="J6" s="15">
        <f t="shared" si="0"/>
        <v>2164617.8719999995</v>
      </c>
      <c r="K6" s="15">
        <f t="shared" si="0"/>
        <v>2140305.2449999996</v>
      </c>
      <c r="L6" s="15">
        <f t="shared" si="0"/>
        <v>1472910.7499999998</v>
      </c>
      <c r="M6" s="15">
        <f t="shared" si="0"/>
        <v>1767976.3639999998</v>
      </c>
      <c r="N6" s="15">
        <f>SUM(B6:M6)</f>
        <v>20214419.168000001</v>
      </c>
    </row>
    <row r="7" spans="1:14">
      <c r="A7" s="1" t="s">
        <v>1</v>
      </c>
      <c r="B7" s="3">
        <v>1238816.8710000003</v>
      </c>
      <c r="C7" s="3">
        <v>1136703.4770000004</v>
      </c>
      <c r="D7" s="3">
        <v>1203669.3789999997</v>
      </c>
      <c r="E7" s="135">
        <v>1381633.8159999999</v>
      </c>
      <c r="F7" s="136">
        <v>1216661.0329999998</v>
      </c>
      <c r="G7" s="3">
        <v>1322786.058</v>
      </c>
      <c r="H7" s="3">
        <v>1738199.487</v>
      </c>
      <c r="I7" s="3">
        <v>1133414.233</v>
      </c>
      <c r="J7" s="3">
        <v>1604771.6689999998</v>
      </c>
      <c r="K7" s="3">
        <v>1683894.1799999997</v>
      </c>
      <c r="L7" s="3">
        <v>1200671.4149999998</v>
      </c>
      <c r="M7" s="139">
        <v>1393923.6249999998</v>
      </c>
      <c r="N7" s="15">
        <f>SUM(B7:M7)</f>
        <v>16255145.243000001</v>
      </c>
    </row>
    <row r="8" spans="1:14">
      <c r="A8" s="1" t="s">
        <v>17</v>
      </c>
      <c r="B8" s="3">
        <v>291590.51200000005</v>
      </c>
      <c r="C8" s="3">
        <v>313260.15500000009</v>
      </c>
      <c r="D8" s="3">
        <v>302191.90399999998</v>
      </c>
      <c r="E8" s="137">
        <v>284475.14100000006</v>
      </c>
      <c r="F8" s="136">
        <v>209169.79499999998</v>
      </c>
      <c r="G8" s="3">
        <v>309877.12699999986</v>
      </c>
      <c r="H8" s="3">
        <v>325781.97799999994</v>
      </c>
      <c r="I8" s="3">
        <v>260377.97099999999</v>
      </c>
      <c r="J8" s="3">
        <v>559846.20299999998</v>
      </c>
      <c r="K8" s="3">
        <v>456411.06499999994</v>
      </c>
      <c r="L8" s="3">
        <v>272239.3349999999</v>
      </c>
      <c r="M8" s="140">
        <v>374052.73900000006</v>
      </c>
      <c r="N8" s="15">
        <f>SUM(B8:M8)</f>
        <v>3959273.9250000003</v>
      </c>
    </row>
    <row r="9" spans="1:14">
      <c r="A9" s="112" t="s">
        <v>68</v>
      </c>
      <c r="B9" s="31">
        <f t="shared" ref="B9:M9" si="1">B8/B6</f>
        <v>0.19053130247477379</v>
      </c>
      <c r="C9" s="31">
        <f t="shared" si="1"/>
        <v>0.21604690496126872</v>
      </c>
      <c r="D9" s="31">
        <f t="shared" si="1"/>
        <v>0.20067711907564864</v>
      </c>
      <c r="E9" s="31">
        <f>E8/E6</f>
        <v>0.17074221935174438</v>
      </c>
      <c r="F9" s="31">
        <f>F8/F6</f>
        <v>0.14670028932773224</v>
      </c>
      <c r="G9" s="31">
        <f t="shared" si="1"/>
        <v>0.18979856338219564</v>
      </c>
      <c r="H9" s="31">
        <f t="shared" si="1"/>
        <v>0.1578415230584447</v>
      </c>
      <c r="I9" s="31">
        <f t="shared" si="1"/>
        <v>0.18681261830332349</v>
      </c>
      <c r="J9" s="31">
        <f t="shared" si="1"/>
        <v>0.25863511996356653</v>
      </c>
      <c r="K9" s="31">
        <f t="shared" si="1"/>
        <v>0.21324578167821107</v>
      </c>
      <c r="L9" s="31">
        <f t="shared" si="1"/>
        <v>0.18483084260197025</v>
      </c>
      <c r="M9" s="31">
        <f t="shared" si="1"/>
        <v>0.21157111973698314</v>
      </c>
      <c r="N9" s="33">
        <f>N8/N6</f>
        <v>0.19586384808264207</v>
      </c>
    </row>
    <row r="10" spans="1:14">
      <c r="B10" s="41"/>
      <c r="C10" s="41"/>
      <c r="D10" s="41"/>
      <c r="E10" s="41"/>
      <c r="F10" s="41"/>
      <c r="G10" s="41"/>
      <c r="H10" s="41"/>
      <c r="I10" s="41"/>
    </row>
    <row r="28" spans="1:14">
      <c r="A28" s="148" t="s">
        <v>54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</row>
    <row r="29" spans="1:14">
      <c r="A29" s="148" t="s">
        <v>15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</row>
    <row r="30" spans="1:14">
      <c r="A30" s="148" t="s">
        <v>25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</row>
    <row r="31" spans="1:14">
      <c r="A31" s="159">
        <v>2015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</row>
    <row r="32" spans="1:14" s="96" customFormat="1">
      <c r="A32" s="93" t="s">
        <v>16</v>
      </c>
      <c r="B32" s="93" t="s">
        <v>2</v>
      </c>
      <c r="C32" s="93" t="s">
        <v>4</v>
      </c>
      <c r="D32" s="93" t="s">
        <v>3</v>
      </c>
      <c r="E32" s="93" t="s">
        <v>5</v>
      </c>
      <c r="F32" s="93" t="s">
        <v>6</v>
      </c>
      <c r="G32" s="93" t="s">
        <v>7</v>
      </c>
      <c r="H32" s="93" t="s">
        <v>8</v>
      </c>
      <c r="I32" s="93" t="s">
        <v>9</v>
      </c>
      <c r="J32" s="93" t="s">
        <v>10</v>
      </c>
      <c r="K32" s="93" t="s">
        <v>11</v>
      </c>
      <c r="L32" s="93" t="s">
        <v>12</v>
      </c>
      <c r="M32" s="95" t="s">
        <v>13</v>
      </c>
      <c r="N32" s="94" t="s">
        <v>36</v>
      </c>
    </row>
    <row r="33" spans="1:14" s="9" customFormat="1">
      <c r="A33" s="16" t="s">
        <v>36</v>
      </c>
      <c r="B33" s="15">
        <f>B34:G34+B35:G35</f>
        <v>145424.06900000002</v>
      </c>
      <c r="C33" s="15">
        <f t="shared" ref="C33:M33" si="2">C34+C35</f>
        <v>187026.72699999996</v>
      </c>
      <c r="D33" s="15">
        <f t="shared" si="2"/>
        <v>207826.73669999995</v>
      </c>
      <c r="E33" s="15">
        <f t="shared" si="2"/>
        <v>244855.95170000018</v>
      </c>
      <c r="F33" s="15">
        <f t="shared" si="2"/>
        <v>209598.92759999985</v>
      </c>
      <c r="G33" s="15">
        <f t="shared" si="2"/>
        <v>235204.20709999983</v>
      </c>
      <c r="H33" s="15">
        <f t="shared" si="2"/>
        <v>338242.94729999971</v>
      </c>
      <c r="I33" s="15">
        <f t="shared" si="2"/>
        <v>221828.29609999992</v>
      </c>
      <c r="J33" s="15">
        <f t="shared" si="2"/>
        <v>270672.09889999998</v>
      </c>
      <c r="K33" s="15">
        <f t="shared" si="2"/>
        <v>246384.80219999986</v>
      </c>
      <c r="L33" s="15">
        <f t="shared" si="2"/>
        <v>213917.57599999988</v>
      </c>
      <c r="M33" s="97">
        <f t="shared" si="2"/>
        <v>175092.79599999997</v>
      </c>
      <c r="N33" s="15">
        <f>SUM(B33:M33)</f>
        <v>2696075.1355999992</v>
      </c>
    </row>
    <row r="34" spans="1:14">
      <c r="A34" s="1" t="s">
        <v>1</v>
      </c>
      <c r="B34" s="40">
        <v>100747.64200000001</v>
      </c>
      <c r="C34" s="40">
        <v>154146.41199999995</v>
      </c>
      <c r="D34" s="40">
        <v>135422.50269999995</v>
      </c>
      <c r="E34" s="44">
        <v>187943.06170000014</v>
      </c>
      <c r="F34" s="40">
        <v>155370.58459999986</v>
      </c>
      <c r="G34" s="40">
        <v>129618.88209999999</v>
      </c>
      <c r="H34" s="40">
        <v>248937.73829999976</v>
      </c>
      <c r="I34" s="40">
        <v>162717.33209999991</v>
      </c>
      <c r="J34" s="40">
        <v>143002.88889999993</v>
      </c>
      <c r="K34" s="40">
        <v>133566.32619999992</v>
      </c>
      <c r="L34" s="40">
        <v>147310.12399999992</v>
      </c>
      <c r="M34" s="139">
        <v>129568.62099999996</v>
      </c>
      <c r="N34" s="15">
        <f>SUM(B34:M34)</f>
        <v>1828352.1155999994</v>
      </c>
    </row>
    <row r="35" spans="1:14">
      <c r="A35" s="1" t="s">
        <v>17</v>
      </c>
      <c r="B35" s="40">
        <v>44676.427000000011</v>
      </c>
      <c r="C35" s="40">
        <v>32880.315000000017</v>
      </c>
      <c r="D35" s="40">
        <v>72404.233999999997</v>
      </c>
      <c r="E35" s="40">
        <v>56912.89000000005</v>
      </c>
      <c r="F35" s="40">
        <v>54228.343000000001</v>
      </c>
      <c r="G35" s="40">
        <v>105585.32499999984</v>
      </c>
      <c r="H35" s="40">
        <v>89305.208999999944</v>
      </c>
      <c r="I35" s="40">
        <v>59110.964000000007</v>
      </c>
      <c r="J35" s="40">
        <v>127669.21000000002</v>
      </c>
      <c r="K35" s="40">
        <v>112818.47599999992</v>
      </c>
      <c r="L35" s="126">
        <v>66607.451999999961</v>
      </c>
      <c r="M35" s="139">
        <v>45524.175000000003</v>
      </c>
      <c r="N35" s="15">
        <f>SUM(B35:M35)</f>
        <v>867723.01999999979</v>
      </c>
    </row>
    <row r="36" spans="1:14">
      <c r="A36" s="112" t="s">
        <v>68</v>
      </c>
      <c r="B36" s="31">
        <f t="shared" ref="B36:M36" si="3">B35/B33</f>
        <v>0.3072148049990267</v>
      </c>
      <c r="C36" s="31">
        <f t="shared" si="3"/>
        <v>0.17580543448209959</v>
      </c>
      <c r="D36" s="31">
        <f t="shared" si="3"/>
        <v>0.34838748444824141</v>
      </c>
      <c r="E36" s="31">
        <f t="shared" si="3"/>
        <v>0.23243417039635719</v>
      </c>
      <c r="F36" s="31">
        <f t="shared" si="3"/>
        <v>0.25872433423652708</v>
      </c>
      <c r="G36" s="31">
        <f t="shared" si="3"/>
        <v>0.44890916834284772</v>
      </c>
      <c r="H36" s="31">
        <f t="shared" si="3"/>
        <v>0.26402681774408726</v>
      </c>
      <c r="I36" s="31">
        <f t="shared" si="3"/>
        <v>0.26647170374221718</v>
      </c>
      <c r="J36" s="31">
        <f t="shared" si="3"/>
        <v>0.47167480696696229</v>
      </c>
      <c r="K36" s="31">
        <f t="shared" si="3"/>
        <v>0.45789543426635909</v>
      </c>
      <c r="L36" s="31">
        <f t="shared" si="3"/>
        <v>0.31136970250635226</v>
      </c>
      <c r="M36" s="31">
        <f t="shared" si="3"/>
        <v>0.26000027436879819</v>
      </c>
      <c r="N36" s="33">
        <f>N35/N33</f>
        <v>0.32184674994485712</v>
      </c>
    </row>
    <row r="37" spans="1:14">
      <c r="A37" s="27"/>
      <c r="B37" s="35"/>
      <c r="C37" s="35"/>
      <c r="D37" s="35"/>
      <c r="E37" s="43"/>
      <c r="F37" s="35"/>
      <c r="G37" s="35"/>
      <c r="H37" s="35"/>
      <c r="I37" s="35"/>
      <c r="J37" s="35"/>
      <c r="K37" s="35"/>
      <c r="L37" s="35"/>
      <c r="M37" s="35"/>
    </row>
    <row r="56" spans="1:14">
      <c r="A56" s="148" t="s">
        <v>33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</row>
    <row r="57" spans="1:14">
      <c r="A57" s="148" t="s">
        <v>34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</row>
    <row r="58" spans="1:14">
      <c r="A58" s="148" t="s">
        <v>35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</row>
    <row r="59" spans="1:14">
      <c r="A59" s="162">
        <v>2015</v>
      </c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</row>
    <row r="60" spans="1:14">
      <c r="A60" s="16" t="s">
        <v>16</v>
      </c>
      <c r="B60" s="67">
        <v>41974</v>
      </c>
      <c r="C60" s="67">
        <v>42005</v>
      </c>
      <c r="D60" s="67">
        <v>42036</v>
      </c>
      <c r="E60" s="67">
        <v>42064</v>
      </c>
      <c r="F60" s="67">
        <v>42095</v>
      </c>
      <c r="G60" s="67">
        <v>42125</v>
      </c>
      <c r="H60" s="67">
        <v>42156</v>
      </c>
      <c r="I60" s="67">
        <v>42186</v>
      </c>
      <c r="J60" s="67">
        <v>42217</v>
      </c>
      <c r="K60" s="67">
        <v>42248</v>
      </c>
      <c r="L60" s="67">
        <v>42278</v>
      </c>
      <c r="M60" s="67">
        <v>42309</v>
      </c>
      <c r="N60" s="67">
        <v>42339</v>
      </c>
    </row>
    <row r="61" spans="1:14">
      <c r="A61" s="16" t="s">
        <v>1</v>
      </c>
      <c r="B61" s="40">
        <v>143684.29252999992</v>
      </c>
      <c r="C61" s="40">
        <v>100747.64200000001</v>
      </c>
      <c r="D61" s="40">
        <v>154146.41199999995</v>
      </c>
      <c r="E61" s="40">
        <v>135422.50269999995</v>
      </c>
      <c r="F61" s="40">
        <v>187943.06170000014</v>
      </c>
      <c r="G61" s="40">
        <v>155370.58459999986</v>
      </c>
      <c r="H61" s="40">
        <v>129618.88209999999</v>
      </c>
      <c r="I61" s="40">
        <v>248937.73829999976</v>
      </c>
      <c r="J61" s="40">
        <v>162717.33209999991</v>
      </c>
      <c r="K61" s="40">
        <v>143002.88889999993</v>
      </c>
      <c r="L61" s="40">
        <v>133566.32619999992</v>
      </c>
      <c r="M61" s="40">
        <v>147310.12399999992</v>
      </c>
      <c r="N61" s="40">
        <v>129568.62099999996</v>
      </c>
    </row>
    <row r="62" spans="1:14">
      <c r="A62" s="16" t="s">
        <v>17</v>
      </c>
      <c r="B62" s="40">
        <v>45821.773000000001</v>
      </c>
      <c r="C62" s="127">
        <v>44676.427000000011</v>
      </c>
      <c r="D62" s="127">
        <v>32880.315000000017</v>
      </c>
      <c r="E62" s="40">
        <v>72404.233999999997</v>
      </c>
      <c r="F62" s="127">
        <v>56912.89000000005</v>
      </c>
      <c r="G62" s="127">
        <v>54228.343000000001</v>
      </c>
      <c r="H62" s="127">
        <v>105585.32499999984</v>
      </c>
      <c r="I62" s="127">
        <v>89305.208999999944</v>
      </c>
      <c r="J62" s="127">
        <v>59110.964000000007</v>
      </c>
      <c r="K62" s="40">
        <v>127669.21000000002</v>
      </c>
      <c r="L62" s="40">
        <v>112818.47599999992</v>
      </c>
      <c r="M62" s="40">
        <v>66607.451999999961</v>
      </c>
      <c r="N62" s="40">
        <v>45524.175000000003</v>
      </c>
    </row>
    <row r="63" spans="1:14">
      <c r="B63" s="41"/>
    </row>
    <row r="81" spans="1:14">
      <c r="A81" s="148" t="s">
        <v>72</v>
      </c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>
      <c r="A82" s="150" t="s">
        <v>25</v>
      </c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s="96" customFormat="1">
      <c r="A83" s="93"/>
      <c r="B83" s="93" t="s">
        <v>2</v>
      </c>
      <c r="C83" s="93" t="s">
        <v>4</v>
      </c>
      <c r="D83" s="93" t="s">
        <v>3</v>
      </c>
      <c r="E83" s="93" t="s">
        <v>5</v>
      </c>
      <c r="F83" s="93" t="s">
        <v>6</v>
      </c>
      <c r="G83" s="93" t="s">
        <v>7</v>
      </c>
      <c r="H83" s="93" t="s">
        <v>8</v>
      </c>
      <c r="I83" s="93" t="s">
        <v>9</v>
      </c>
      <c r="J83" s="93" t="s">
        <v>10</v>
      </c>
      <c r="K83" s="93" t="s">
        <v>11</v>
      </c>
      <c r="L83" s="93" t="s">
        <v>12</v>
      </c>
      <c r="M83" s="93" t="s">
        <v>13</v>
      </c>
      <c r="N83" s="94" t="s">
        <v>36</v>
      </c>
    </row>
    <row r="84" spans="1:14">
      <c r="A84" s="75" t="s">
        <v>52</v>
      </c>
      <c r="B84" s="15">
        <f>B85+B86</f>
        <v>1530407.3830000004</v>
      </c>
      <c r="C84" s="15">
        <f t="shared" ref="C84:L84" si="4">C85+C86</f>
        <v>1449963.6320000004</v>
      </c>
      <c r="D84" s="15">
        <f t="shared" si="4"/>
        <v>1505861.2829999998</v>
      </c>
      <c r="E84" s="15">
        <f t="shared" si="4"/>
        <v>1666108.9569999999</v>
      </c>
      <c r="F84" s="15">
        <f t="shared" si="4"/>
        <v>1425830.828</v>
      </c>
      <c r="G84" s="15">
        <f t="shared" si="4"/>
        <v>1632663.1849999998</v>
      </c>
      <c r="H84" s="15">
        <f t="shared" si="4"/>
        <v>2063981.4649999999</v>
      </c>
      <c r="I84" s="15">
        <f t="shared" si="4"/>
        <v>1393792.2040000001</v>
      </c>
      <c r="J84" s="15">
        <f t="shared" si="4"/>
        <v>2164617.8719999995</v>
      </c>
      <c r="K84" s="15">
        <f t="shared" si="4"/>
        <v>2140305.2450000001</v>
      </c>
      <c r="L84" s="15">
        <f t="shared" si="4"/>
        <v>1472910.7499999998</v>
      </c>
      <c r="M84" s="15">
        <f>M85+M86</f>
        <v>1767976.3639999996</v>
      </c>
      <c r="N84" s="15">
        <f>N85+N86</f>
        <v>20214419.167999998</v>
      </c>
    </row>
    <row r="85" spans="1:14">
      <c r="A85" s="21" t="s">
        <v>26</v>
      </c>
      <c r="B85" s="40">
        <v>786513.39700000011</v>
      </c>
      <c r="C85" s="40">
        <v>825005.6530000004</v>
      </c>
      <c r="D85" s="40">
        <v>912489.47599999967</v>
      </c>
      <c r="E85" s="40">
        <v>820127.41399999999</v>
      </c>
      <c r="F85" s="40">
        <v>576876.1399999999</v>
      </c>
      <c r="G85" s="40">
        <v>740235.69799999974</v>
      </c>
      <c r="H85" s="40">
        <v>757451.66299999971</v>
      </c>
      <c r="I85" s="40">
        <v>321964.90899999993</v>
      </c>
      <c r="J85" s="40">
        <v>888416.85699999984</v>
      </c>
      <c r="K85" s="40">
        <v>877800.1529999997</v>
      </c>
      <c r="L85" s="139">
        <v>700563.35100000002</v>
      </c>
      <c r="M85" s="139">
        <v>861163.44299999974</v>
      </c>
      <c r="N85" s="15">
        <f>SUM(B85:M85)</f>
        <v>9068608.1539999992</v>
      </c>
    </row>
    <row r="86" spans="1:14">
      <c r="A86" s="23" t="s">
        <v>27</v>
      </c>
      <c r="B86" s="40">
        <v>743893.98600000027</v>
      </c>
      <c r="C86" s="40">
        <v>624957.97900000005</v>
      </c>
      <c r="D86" s="40">
        <v>593371.80700000003</v>
      </c>
      <c r="E86" s="40">
        <v>845981.54299999995</v>
      </c>
      <c r="F86" s="40">
        <v>848954.68800000008</v>
      </c>
      <c r="G86" s="40">
        <v>892427.48700000008</v>
      </c>
      <c r="H86" s="40">
        <v>1306529.8020000001</v>
      </c>
      <c r="I86" s="40">
        <v>1071827.2950000002</v>
      </c>
      <c r="J86" s="40">
        <v>1276201.0149999999</v>
      </c>
      <c r="K86" s="40">
        <v>1262505.0920000002</v>
      </c>
      <c r="L86" s="139">
        <v>772347.39899999974</v>
      </c>
      <c r="M86" s="139">
        <v>906812.92099999986</v>
      </c>
      <c r="N86" s="15">
        <f>SUM(B86:M86)</f>
        <v>11145811.014</v>
      </c>
    </row>
    <row r="97" spans="1:18">
      <c r="P97" s="133"/>
      <c r="Q97" s="133"/>
    </row>
    <row r="98" spans="1:18">
      <c r="P98" s="55"/>
    </row>
    <row r="102" spans="1:18">
      <c r="P102" s="138"/>
      <c r="Q102" s="133"/>
    </row>
    <row r="105" spans="1:18">
      <c r="A105" s="155" t="s">
        <v>73</v>
      </c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</row>
    <row r="106" spans="1:18">
      <c r="A106" s="154" t="s">
        <v>25</v>
      </c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</row>
    <row r="107" spans="1:18" s="96" customFormat="1">
      <c r="A107" s="93"/>
      <c r="B107" s="93" t="s">
        <v>2</v>
      </c>
      <c r="C107" s="93" t="s">
        <v>4</v>
      </c>
      <c r="D107" s="93" t="s">
        <v>3</v>
      </c>
      <c r="E107" s="93" t="s">
        <v>5</v>
      </c>
      <c r="F107" s="93" t="s">
        <v>6</v>
      </c>
      <c r="G107" s="93" t="s">
        <v>7</v>
      </c>
      <c r="H107" s="93" t="s">
        <v>8</v>
      </c>
      <c r="I107" s="93" t="s">
        <v>9</v>
      </c>
      <c r="J107" s="93" t="s">
        <v>10</v>
      </c>
      <c r="K107" s="93" t="s">
        <v>11</v>
      </c>
      <c r="L107" s="93" t="s">
        <v>12</v>
      </c>
      <c r="M107" s="93" t="s">
        <v>13</v>
      </c>
      <c r="N107" s="94" t="s">
        <v>36</v>
      </c>
    </row>
    <row r="108" spans="1:18">
      <c r="A108" s="19" t="s">
        <v>28</v>
      </c>
      <c r="B108" s="24">
        <v>40166318.607000001</v>
      </c>
      <c r="C108" s="55">
        <v>37384699.346000001</v>
      </c>
      <c r="D108" s="81">
        <v>50106304.240999997</v>
      </c>
      <c r="E108" s="133">
        <v>46731811.225000001</v>
      </c>
      <c r="F108" s="46">
        <v>50214802.350000001</v>
      </c>
      <c r="G108" s="81">
        <v>57100708.064999998</v>
      </c>
      <c r="H108" s="81">
        <v>58529063.912</v>
      </c>
      <c r="I108" s="48">
        <v>47974812.630999997</v>
      </c>
      <c r="J108" s="24">
        <v>56319050.129000001</v>
      </c>
      <c r="K108" s="55">
        <v>57531603.215999998</v>
      </c>
      <c r="L108" s="81">
        <v>46958480.644000001</v>
      </c>
      <c r="M108" s="99">
        <v>62447793.648999996</v>
      </c>
      <c r="N108" s="100">
        <f>SUM(B108:M108)</f>
        <v>611465448.0150001</v>
      </c>
      <c r="O108" s="82"/>
    </row>
    <row r="109" spans="1:18">
      <c r="A109" s="18" t="s">
        <v>29</v>
      </c>
      <c r="B109" s="40">
        <v>743893.98600000027</v>
      </c>
      <c r="C109" s="40">
        <v>624957.97900000005</v>
      </c>
      <c r="D109" s="40">
        <v>593371.80700000003</v>
      </c>
      <c r="E109" s="40">
        <v>845981.54299999995</v>
      </c>
      <c r="F109" s="40">
        <v>848954.68800000008</v>
      </c>
      <c r="G109" s="40">
        <v>892427.48700000008</v>
      </c>
      <c r="H109" s="40">
        <v>1306529.8020000001</v>
      </c>
      <c r="I109" s="40">
        <v>1071827.2950000002</v>
      </c>
      <c r="J109" s="40">
        <v>1276201.0149999999</v>
      </c>
      <c r="K109" s="40">
        <v>1262505.0920000002</v>
      </c>
      <c r="L109" s="40">
        <v>772347.39899999974</v>
      </c>
      <c r="M109" s="40">
        <v>906812.92099999986</v>
      </c>
      <c r="N109" s="15">
        <f>SUM(B109:M109)</f>
        <v>11145811.014</v>
      </c>
      <c r="R109" s="55"/>
    </row>
    <row r="110" spans="1:18">
      <c r="A110" s="115" t="s">
        <v>39</v>
      </c>
      <c r="B110" s="25">
        <f t="shared" ref="B110:N110" si="5">B109/B108</f>
        <v>1.8520342709982832E-2</v>
      </c>
      <c r="C110" s="25">
        <f t="shared" si="5"/>
        <v>1.671694543310184E-2</v>
      </c>
      <c r="D110" s="25">
        <f t="shared" si="5"/>
        <v>1.1842258493981432E-2</v>
      </c>
      <c r="E110" s="25">
        <f t="shared" si="5"/>
        <v>1.8102905083794984E-2</v>
      </c>
      <c r="F110" s="25">
        <f t="shared" si="5"/>
        <v>1.6906462801202286E-2</v>
      </c>
      <c r="G110" s="25">
        <f t="shared" si="5"/>
        <v>1.5629009118137634E-2</v>
      </c>
      <c r="H110" s="25">
        <f>H109/H108</f>
        <v>2.2322752401514611E-2</v>
      </c>
      <c r="I110" s="25">
        <f>I109/H108</f>
        <v>1.8312735987227147E-2</v>
      </c>
      <c r="J110" s="25">
        <f t="shared" si="5"/>
        <v>2.2660201336436498E-2</v>
      </c>
      <c r="K110" s="25">
        <f t="shared" si="5"/>
        <v>2.1944549107383252E-2</v>
      </c>
      <c r="L110" s="25">
        <f t="shared" si="5"/>
        <v>1.6447452907501266E-2</v>
      </c>
      <c r="M110" s="25">
        <f t="shared" si="5"/>
        <v>1.4521136264587965E-2</v>
      </c>
      <c r="N110" s="51">
        <f t="shared" si="5"/>
        <v>1.8228030790918177E-2</v>
      </c>
      <c r="O110" s="42"/>
    </row>
    <row r="114" spans="1:17">
      <c r="P114" s="138"/>
      <c r="Q114" s="133"/>
    </row>
    <row r="115" spans="1:17">
      <c r="P115" s="55"/>
    </row>
    <row r="119" spans="1:17">
      <c r="P119" s="138"/>
      <c r="Q119" s="133"/>
    </row>
    <row r="122" spans="1:17">
      <c r="P122" s="55"/>
    </row>
    <row r="123" spans="1:17">
      <c r="P123" s="138"/>
      <c r="Q123" s="133"/>
    </row>
    <row r="127" spans="1:17">
      <c r="A127" s="155" t="s">
        <v>74</v>
      </c>
      <c r="B127" s="155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</row>
    <row r="128" spans="1:17">
      <c r="A128" s="154" t="s">
        <v>25</v>
      </c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</row>
    <row r="129" spans="1:17" s="96" customFormat="1">
      <c r="A129" s="93"/>
      <c r="B129" s="93" t="s">
        <v>2</v>
      </c>
      <c r="C129" s="93" t="s">
        <v>4</v>
      </c>
      <c r="D129" s="93" t="s">
        <v>3</v>
      </c>
      <c r="E129" s="93" t="s">
        <v>5</v>
      </c>
      <c r="F129" s="93" t="s">
        <v>6</v>
      </c>
      <c r="G129" s="93" t="s">
        <v>7</v>
      </c>
      <c r="H129" s="93" t="s">
        <v>8</v>
      </c>
      <c r="I129" s="93" t="s">
        <v>9</v>
      </c>
      <c r="J129" s="93" t="s">
        <v>10</v>
      </c>
      <c r="K129" s="93" t="s">
        <v>11</v>
      </c>
      <c r="L129" s="93" t="s">
        <v>12</v>
      </c>
      <c r="M129" s="93" t="s">
        <v>13</v>
      </c>
      <c r="N129" s="94" t="s">
        <v>36</v>
      </c>
    </row>
    <row r="130" spans="1:17">
      <c r="A130" s="19" t="s">
        <v>28</v>
      </c>
      <c r="B130" s="40">
        <v>11452134.999</v>
      </c>
      <c r="C130" s="134">
        <v>10923628.117000001</v>
      </c>
      <c r="D130" s="133">
        <v>12157140.025</v>
      </c>
      <c r="E130" s="134">
        <v>10737518.056</v>
      </c>
      <c r="F130" s="133">
        <v>10912307.674000001</v>
      </c>
      <c r="G130" s="81">
        <v>11917594.186000001</v>
      </c>
      <c r="H130" s="134">
        <v>12164003.517999999</v>
      </c>
      <c r="I130" s="48">
        <v>8030985.8310000002</v>
      </c>
      <c r="J130" s="40">
        <v>10192509.828</v>
      </c>
      <c r="K130" s="40">
        <v>12123228.661</v>
      </c>
      <c r="L130" s="55">
        <v>11750413.664999999</v>
      </c>
      <c r="M130" s="40">
        <v>9319023.3920000009</v>
      </c>
      <c r="N130" s="15">
        <f>SUM(B130:M130)</f>
        <v>131680487.95200001</v>
      </c>
    </row>
    <row r="131" spans="1:17" ht="15" customHeight="1">
      <c r="A131" s="18" t="s">
        <v>29</v>
      </c>
      <c r="B131" s="40">
        <v>786513.39700000011</v>
      </c>
      <c r="C131" s="40">
        <v>825005.6530000004</v>
      </c>
      <c r="D131" s="40">
        <v>912489.47599999967</v>
      </c>
      <c r="E131" s="40">
        <v>820127.41399999999</v>
      </c>
      <c r="F131" s="40">
        <v>576876.1399999999</v>
      </c>
      <c r="G131" s="40">
        <v>740235.69799999974</v>
      </c>
      <c r="H131" s="40">
        <v>757451.66299999971</v>
      </c>
      <c r="I131" s="40">
        <v>321964.90899999993</v>
      </c>
      <c r="J131" s="40">
        <v>888416.85699999984</v>
      </c>
      <c r="K131" s="40">
        <v>877800.1529999997</v>
      </c>
      <c r="L131" s="40">
        <v>700563.35100000002</v>
      </c>
      <c r="M131" s="40">
        <v>861163.44299999974</v>
      </c>
      <c r="N131" s="15">
        <f>SUM(B131:M131)</f>
        <v>9068608.1539999992</v>
      </c>
    </row>
    <row r="132" spans="1:17">
      <c r="A132" s="115" t="s">
        <v>39</v>
      </c>
      <c r="B132" s="25">
        <f t="shared" ref="B132:M132" si="6">B131/B130</f>
        <v>6.8678320423980199E-2</v>
      </c>
      <c r="C132" s="25">
        <f t="shared" si="6"/>
        <v>7.5524875450133408E-2</v>
      </c>
      <c r="D132" s="25">
        <f t="shared" si="6"/>
        <v>7.5057906228237228E-2</v>
      </c>
      <c r="E132" s="25">
        <f t="shared" si="6"/>
        <v>7.6379607440261524E-2</v>
      </c>
      <c r="F132" s="25">
        <f t="shared" si="6"/>
        <v>5.2864724605821249E-2</v>
      </c>
      <c r="G132" s="25">
        <f t="shared" si="6"/>
        <v>6.2112846472787232E-2</v>
      </c>
      <c r="H132" s="25">
        <f>H131/H130</f>
        <v>6.2269931267213217E-2</v>
      </c>
      <c r="I132" s="25">
        <f>I131/H130</f>
        <v>2.6468662930223919E-2</v>
      </c>
      <c r="J132" s="25">
        <f t="shared" si="6"/>
        <v>8.7163698832981876E-2</v>
      </c>
      <c r="K132" s="25">
        <f t="shared" si="6"/>
        <v>7.2406466754508389E-2</v>
      </c>
      <c r="L132" s="25">
        <f t="shared" si="6"/>
        <v>5.9620313886200538E-2</v>
      </c>
      <c r="M132" s="25">
        <f t="shared" si="6"/>
        <v>9.2409194265922034E-2</v>
      </c>
      <c r="N132" s="51">
        <f>N131/N130</f>
        <v>6.8868275741092916E-2</v>
      </c>
      <c r="O132" s="42"/>
    </row>
    <row r="134" spans="1:17">
      <c r="Q134" s="55">
        <f>9319023392/1000</f>
        <v>9319023.3920000009</v>
      </c>
    </row>
    <row r="150" spans="1:15">
      <c r="A150" t="s">
        <v>21</v>
      </c>
    </row>
    <row r="153" spans="1:15">
      <c r="A153" s="152" t="s">
        <v>75</v>
      </c>
      <c r="B153" s="152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</row>
    <row r="154" spans="1:15">
      <c r="A154" s="103"/>
      <c r="B154" s="93" t="s">
        <v>2</v>
      </c>
      <c r="C154" s="93" t="s">
        <v>4</v>
      </c>
      <c r="D154" s="93" t="s">
        <v>3</v>
      </c>
      <c r="E154" s="93" t="s">
        <v>5</v>
      </c>
      <c r="F154" s="93" t="s">
        <v>6</v>
      </c>
      <c r="G154" s="93" t="s">
        <v>7</v>
      </c>
      <c r="H154" s="93" t="s">
        <v>8</v>
      </c>
      <c r="I154" s="93" t="s">
        <v>9</v>
      </c>
      <c r="J154" s="93" t="s">
        <v>10</v>
      </c>
      <c r="K154" s="93" t="s">
        <v>11</v>
      </c>
      <c r="L154" s="93" t="s">
        <v>12</v>
      </c>
      <c r="M154" s="93" t="s">
        <v>13</v>
      </c>
      <c r="N154" s="94" t="s">
        <v>36</v>
      </c>
    </row>
    <row r="155" spans="1:15">
      <c r="A155" s="19" t="s">
        <v>28</v>
      </c>
      <c r="B155" s="102">
        <f>B108+B130</f>
        <v>51618453.605999999</v>
      </c>
      <c r="C155" s="102">
        <f t="shared" ref="C155:N155" si="7">C108+C130</f>
        <v>48308327.463</v>
      </c>
      <c r="D155" s="102">
        <f t="shared" si="7"/>
        <v>62263444.265999995</v>
      </c>
      <c r="E155" s="102">
        <f t="shared" si="7"/>
        <v>57469329.281000003</v>
      </c>
      <c r="F155" s="102">
        <f t="shared" si="7"/>
        <v>61127110.024000004</v>
      </c>
      <c r="G155" s="102">
        <f t="shared" si="7"/>
        <v>69018302.251000002</v>
      </c>
      <c r="H155" s="102">
        <f>H130+H108</f>
        <v>70693067.430000007</v>
      </c>
      <c r="I155" s="102">
        <f>I130+I108</f>
        <v>56005798.461999997</v>
      </c>
      <c r="J155" s="102">
        <f t="shared" si="7"/>
        <v>66511559.957000002</v>
      </c>
      <c r="K155" s="102">
        <f t="shared" si="7"/>
        <v>69654831.877000004</v>
      </c>
      <c r="L155" s="102">
        <f t="shared" si="7"/>
        <v>58708894.309</v>
      </c>
      <c r="M155" s="102">
        <f>M108+M130</f>
        <v>71766817.040999994</v>
      </c>
      <c r="N155" s="105">
        <f t="shared" si="7"/>
        <v>743145935.96700013</v>
      </c>
    </row>
    <row r="156" spans="1:15">
      <c r="A156" s="18" t="s">
        <v>29</v>
      </c>
      <c r="B156" s="117">
        <f>B86+B85</f>
        <v>1530407.3830000004</v>
      </c>
      <c r="C156" s="117">
        <f t="shared" ref="C156:M156" si="8">C86+C85</f>
        <v>1449963.6320000004</v>
      </c>
      <c r="D156" s="117">
        <f t="shared" si="8"/>
        <v>1505861.2829999998</v>
      </c>
      <c r="E156" s="117">
        <f t="shared" si="8"/>
        <v>1666108.9569999999</v>
      </c>
      <c r="F156" s="117">
        <f t="shared" si="8"/>
        <v>1425830.828</v>
      </c>
      <c r="G156" s="117">
        <f t="shared" si="8"/>
        <v>1632663.1849999998</v>
      </c>
      <c r="H156" s="117">
        <f t="shared" si="8"/>
        <v>2063981.4649999999</v>
      </c>
      <c r="I156" s="117">
        <f t="shared" si="8"/>
        <v>1393792.2040000001</v>
      </c>
      <c r="J156" s="117">
        <f t="shared" si="8"/>
        <v>2164617.8719999995</v>
      </c>
      <c r="K156" s="117">
        <f t="shared" si="8"/>
        <v>2140305.2450000001</v>
      </c>
      <c r="L156" s="117">
        <f t="shared" si="8"/>
        <v>1472910.7499999998</v>
      </c>
      <c r="M156" s="117">
        <f t="shared" si="8"/>
        <v>1767976.3639999996</v>
      </c>
      <c r="N156" s="15">
        <f>SUM(B156:M156)</f>
        <v>20214419.168000001</v>
      </c>
    </row>
    <row r="157" spans="1:15">
      <c r="A157" s="115" t="s">
        <v>39</v>
      </c>
      <c r="B157" s="119">
        <f>B156/B155</f>
        <v>2.9648454691833498E-2</v>
      </c>
      <c r="C157" s="119">
        <f t="shared" ref="C157:N157" si="9">C156/C155</f>
        <v>3.0014776088254085E-2</v>
      </c>
      <c r="D157" s="119">
        <f t="shared" si="9"/>
        <v>2.4185319343509249E-2</v>
      </c>
      <c r="E157" s="119">
        <f t="shared" si="9"/>
        <v>2.8991272002731272E-2</v>
      </c>
      <c r="F157" s="119">
        <f t="shared" si="9"/>
        <v>2.3325670515752892E-2</v>
      </c>
      <c r="G157" s="119">
        <f t="shared" si="9"/>
        <v>2.3655510665308261E-2</v>
      </c>
      <c r="H157" s="119">
        <f t="shared" si="9"/>
        <v>2.9196377240862353E-2</v>
      </c>
      <c r="I157" s="119">
        <f t="shared" si="9"/>
        <v>2.4886569645921394E-2</v>
      </c>
      <c r="J157" s="119">
        <f t="shared" si="9"/>
        <v>3.2544987268370101E-2</v>
      </c>
      <c r="K157" s="119">
        <f t="shared" si="9"/>
        <v>3.0727304729978509E-2</v>
      </c>
      <c r="L157" s="119">
        <f t="shared" si="9"/>
        <v>2.5088374893379731E-2</v>
      </c>
      <c r="M157" s="119">
        <f t="shared" si="9"/>
        <v>2.4635011512214124E-2</v>
      </c>
      <c r="N157" s="104">
        <f t="shared" si="9"/>
        <v>2.7201143395471163E-2</v>
      </c>
    </row>
    <row r="158" spans="1:15" ht="15" customHeight="1">
      <c r="A158" s="68"/>
      <c r="B158" s="70"/>
      <c r="C158" s="70"/>
      <c r="D158" s="70"/>
      <c r="E158" s="70"/>
      <c r="F158" s="70"/>
      <c r="G158" s="70"/>
      <c r="H158" s="70"/>
      <c r="I158" s="70"/>
      <c r="J158" s="86"/>
      <c r="K158" s="88"/>
      <c r="L158" s="70"/>
      <c r="M158" s="70"/>
      <c r="N158" s="72"/>
    </row>
    <row r="159" spans="1:15">
      <c r="A159" s="68"/>
      <c r="B159" s="73"/>
      <c r="C159" s="73"/>
      <c r="D159" s="73"/>
      <c r="E159" s="73"/>
      <c r="F159" s="73"/>
      <c r="G159" s="73"/>
      <c r="H159" s="73"/>
      <c r="I159" s="73"/>
      <c r="J159" s="89"/>
      <c r="K159" s="88"/>
      <c r="L159" s="73"/>
      <c r="M159" s="73"/>
      <c r="N159" s="74"/>
      <c r="O159" s="42"/>
    </row>
    <row r="160" spans="1:15">
      <c r="K160" s="87"/>
    </row>
    <row r="161" spans="1:14">
      <c r="B161" s="48"/>
      <c r="C161" s="48"/>
      <c r="D161" s="48"/>
      <c r="E161" s="48"/>
    </row>
    <row r="162" spans="1:14">
      <c r="B162" s="55"/>
      <c r="C162" s="55"/>
      <c r="D162" s="55"/>
      <c r="E162" s="55"/>
    </row>
    <row r="163" spans="1:14">
      <c r="B163" s="55"/>
      <c r="C163" s="55"/>
      <c r="D163" s="55"/>
      <c r="E163" s="55"/>
    </row>
    <row r="164" spans="1:14">
      <c r="B164" s="55"/>
      <c r="C164" s="55"/>
      <c r="D164" s="55"/>
      <c r="E164" s="55"/>
    </row>
    <row r="165" spans="1:14">
      <c r="B165" s="55"/>
      <c r="C165" s="55"/>
      <c r="D165" s="55"/>
      <c r="E165" s="55"/>
    </row>
    <row r="166" spans="1:14">
      <c r="B166" s="55"/>
      <c r="C166" s="55"/>
      <c r="D166" s="55"/>
      <c r="E166" s="55"/>
    </row>
    <row r="167" spans="1:14">
      <c r="B167" s="55"/>
      <c r="C167" s="55"/>
      <c r="D167" s="55"/>
      <c r="E167" s="55"/>
    </row>
    <row r="168" spans="1:14">
      <c r="B168" s="55"/>
      <c r="C168" s="55"/>
      <c r="D168" s="55"/>
      <c r="E168" s="55"/>
    </row>
    <row r="169" spans="1:14">
      <c r="B169" s="55"/>
      <c r="C169" s="55"/>
      <c r="D169" s="55"/>
      <c r="E169" s="55"/>
    </row>
    <row r="170" spans="1:14">
      <c r="B170" s="55"/>
      <c r="C170" s="55"/>
      <c r="D170" s="55"/>
      <c r="E170" s="55"/>
    </row>
    <row r="171" spans="1:14">
      <c r="B171" s="55"/>
      <c r="C171" s="55"/>
      <c r="D171" s="55"/>
      <c r="E171" s="55"/>
    </row>
    <row r="176" spans="1:14">
      <c r="A176" s="161"/>
      <c r="B176" s="161"/>
      <c r="C176" s="161"/>
      <c r="D176" s="161"/>
      <c r="E176" s="161"/>
      <c r="F176" s="161"/>
      <c r="G176" s="161"/>
      <c r="H176" s="161"/>
      <c r="I176" s="161"/>
      <c r="J176" s="161"/>
      <c r="K176" s="161"/>
      <c r="L176" s="161"/>
      <c r="M176" s="161"/>
      <c r="N176" s="161"/>
    </row>
    <row r="177" spans="1:15">
      <c r="A177" s="161"/>
      <c r="B177" s="161"/>
      <c r="C177" s="161"/>
      <c r="D177" s="161"/>
      <c r="E177" s="161"/>
      <c r="F177" s="161"/>
      <c r="G177" s="161"/>
      <c r="H177" s="161"/>
      <c r="I177" s="161"/>
      <c r="J177" s="161"/>
      <c r="K177" s="161"/>
      <c r="L177" s="161"/>
      <c r="M177" s="161"/>
      <c r="N177" s="161"/>
    </row>
    <row r="178" spans="1:15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9"/>
    </row>
    <row r="179" spans="1:15">
      <c r="A179" s="68"/>
      <c r="B179" s="70"/>
      <c r="C179" s="70"/>
      <c r="D179" s="71"/>
      <c r="E179" s="71"/>
      <c r="F179" s="70"/>
      <c r="G179" s="70"/>
      <c r="H179" s="70"/>
      <c r="I179" s="70"/>
      <c r="J179" s="70"/>
      <c r="K179" s="70"/>
      <c r="L179" s="70"/>
      <c r="M179" s="70"/>
      <c r="N179" s="72"/>
    </row>
    <row r="180" spans="1:15" ht="15" customHeight="1">
      <c r="A180" t="s">
        <v>21</v>
      </c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2"/>
    </row>
    <row r="181" spans="1:15">
      <c r="A181" s="68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4"/>
      <c r="O181" s="42"/>
    </row>
    <row r="184" spans="1:15">
      <c r="B184" s="55"/>
      <c r="C184" s="55"/>
      <c r="D184" s="55"/>
      <c r="E184" s="55"/>
    </row>
    <row r="185" spans="1:15">
      <c r="A185" s="68"/>
      <c r="B185" s="70"/>
      <c r="C185" s="70"/>
      <c r="D185" s="70"/>
      <c r="E185" s="70"/>
    </row>
    <row r="186" spans="1:15">
      <c r="B186" s="55"/>
      <c r="C186" s="55"/>
      <c r="D186" s="55"/>
      <c r="E186" s="55"/>
    </row>
    <row r="187" spans="1:15">
      <c r="B187" s="55"/>
      <c r="C187" s="55"/>
      <c r="D187" s="55"/>
      <c r="E187" s="55"/>
    </row>
  </sheetData>
  <mergeCells count="21">
    <mergeCell ref="A176:N176"/>
    <mergeCell ref="A177:N177"/>
    <mergeCell ref="A82:N82"/>
    <mergeCell ref="A105:N105"/>
    <mergeCell ref="A106:N106"/>
    <mergeCell ref="A127:N127"/>
    <mergeCell ref="A128:N128"/>
    <mergeCell ref="A153:N153"/>
    <mergeCell ref="A81:N81"/>
    <mergeCell ref="A1:N1"/>
    <mergeCell ref="A2:N2"/>
    <mergeCell ref="A3:N3"/>
    <mergeCell ref="A4:N4"/>
    <mergeCell ref="A28:N28"/>
    <mergeCell ref="A29:N29"/>
    <mergeCell ref="A30:N30"/>
    <mergeCell ref="A31:N31"/>
    <mergeCell ref="A59:N59"/>
    <mergeCell ref="A58:N58"/>
    <mergeCell ref="A57:N57"/>
    <mergeCell ref="A56:N5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2013($)</vt:lpstr>
      <vt:lpstr>Total de Cargas (anual)</vt:lpstr>
      <vt:lpstr>Contêineres (Anual) 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Resumo Anual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Estagiário</dc:creator>
  <cp:lastModifiedBy>administrator</cp:lastModifiedBy>
  <dcterms:created xsi:type="dcterms:W3CDTF">2011-03-15T16:43:53Z</dcterms:created>
  <dcterms:modified xsi:type="dcterms:W3CDTF">2018-08-14T14:11:01Z</dcterms:modified>
</cp:coreProperties>
</file>